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3 Фінансовий план підприєм\фінплан 2023\звіт І півріччя 2023\"/>
    </mc:Choice>
  </mc:AlternateContent>
  <xr:revisionPtr revIDLastSave="0" documentId="13_ncr:1_{3547936C-FD59-4FC3-B59C-46DE9D99E0DD}" xr6:coauthVersionLast="47" xr6:coauthVersionMax="47" xr10:uidLastSave="{00000000-0000-0000-0000-000000000000}"/>
  <bookViews>
    <workbookView xWindow="-120" yWindow="-120" windowWidth="29040" windowHeight="15840" tabRatio="838" activeTab="1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Формування'!$A$1:$H$105</definedName>
    <definedName name="_xlnm.Print_Area" localSheetId="2">'Розшифровка 2 до формування'!$A$1:$H$208</definedName>
    <definedName name="_xlnm.Print_Area" localSheetId="4">'Розшифровка за джерелами'!$A$1:$N$20</definedName>
    <definedName name="_xlnm.Print_Area" localSheetId="3">'Розшифровка кап'!$A$1:$G$50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4" l="1"/>
  <c r="D95" i="14"/>
  <c r="D94" i="14"/>
  <c r="D89" i="14"/>
  <c r="D85" i="14"/>
  <c r="D81" i="14"/>
  <c r="D93" i="14" s="1"/>
  <c r="D64" i="14"/>
  <c r="D57" i="14"/>
  <c r="D52" i="14"/>
  <c r="F45" i="14"/>
  <c r="F25" i="14"/>
  <c r="F22" i="14"/>
  <c r="F16" i="14"/>
  <c r="F15" i="14"/>
  <c r="F31" i="14" s="1"/>
  <c r="F36" i="14" s="1"/>
  <c r="F39" i="14" s="1"/>
  <c r="F9" i="14"/>
  <c r="D45" i="14"/>
  <c r="G75" i="14"/>
  <c r="L15" i="9"/>
  <c r="K16" i="9"/>
  <c r="M16" i="9" s="1"/>
  <c r="K15" i="9"/>
  <c r="J15" i="9"/>
  <c r="H18" i="9"/>
  <c r="G18" i="9"/>
  <c r="E18" i="9"/>
  <c r="L17" i="9"/>
  <c r="M17" i="9" s="1"/>
  <c r="F15" i="9"/>
  <c r="F18" i="9" s="1"/>
  <c r="J13" i="9"/>
  <c r="J6" i="9"/>
  <c r="E6" i="24"/>
  <c r="E42" i="24"/>
  <c r="E45" i="24"/>
  <c r="F96" i="14"/>
  <c r="F95" i="14"/>
  <c r="F94" i="14"/>
  <c r="M24" i="26"/>
  <c r="F89" i="22"/>
  <c r="F88" i="22"/>
  <c r="F87" i="22"/>
  <c r="M14" i="26"/>
  <c r="F42" i="22"/>
  <c r="F41" i="22"/>
  <c r="F40" i="22"/>
  <c r="F99" i="22"/>
  <c r="F34" i="22"/>
  <c r="F37" i="22"/>
  <c r="F162" i="26"/>
  <c r="F28" i="22"/>
  <c r="F64" i="22"/>
  <c r="F62" i="22"/>
  <c r="F51" i="22"/>
  <c r="F38" i="22"/>
  <c r="F36" i="22"/>
  <c r="F32" i="22"/>
  <c r="F35" i="22"/>
  <c r="F43" i="22"/>
  <c r="F30" i="22"/>
  <c r="F90" i="22"/>
  <c r="F39" i="22"/>
  <c r="F69" i="22"/>
  <c r="F56" i="22"/>
  <c r="F65" i="22"/>
  <c r="F66" i="22"/>
  <c r="F47" i="22"/>
  <c r="F63" i="22"/>
  <c r="F60" i="22"/>
  <c r="F59" i="22"/>
  <c r="F58" i="22"/>
  <c r="F55" i="22"/>
  <c r="F53" i="22"/>
  <c r="F52" i="22"/>
  <c r="F50" i="22"/>
  <c r="F49" i="22"/>
  <c r="F46" i="22"/>
  <c r="F45" i="22"/>
  <c r="F31" i="22"/>
  <c r="M25" i="26"/>
  <c r="F175" i="26"/>
  <c r="F145" i="26"/>
  <c r="F64" i="26"/>
  <c r="F178" i="26"/>
  <c r="F112" i="26"/>
  <c r="F181" i="26"/>
  <c r="F191" i="26"/>
  <c r="F190" i="26" s="1"/>
  <c r="F168" i="26"/>
  <c r="F167" i="26" s="1"/>
  <c r="F165" i="26" s="1"/>
  <c r="I102" i="26"/>
  <c r="I101" i="26"/>
  <c r="I100" i="26"/>
  <c r="I99" i="26"/>
  <c r="O10" i="26"/>
  <c r="O9" i="26"/>
  <c r="J18" i="9" l="1"/>
  <c r="M15" i="9"/>
  <c r="F79" i="26"/>
  <c r="E79" i="26"/>
  <c r="F21" i="22"/>
  <c r="G34" i="26"/>
  <c r="H34" i="26"/>
  <c r="F48" i="26"/>
  <c r="G48" i="26" s="1"/>
  <c r="G44" i="26"/>
  <c r="F37" i="26"/>
  <c r="G46" i="26"/>
  <c r="H46" i="26"/>
  <c r="D6" i="24"/>
  <c r="F51" i="26"/>
  <c r="E51" i="26"/>
  <c r="E96" i="14"/>
  <c r="E95" i="14"/>
  <c r="E94" i="14"/>
  <c r="F22" i="26" l="1"/>
  <c r="C6" i="24"/>
  <c r="D204" i="26"/>
  <c r="D156" i="26"/>
  <c r="D153" i="26" s="1"/>
  <c r="D145" i="26"/>
  <c r="D143" i="26"/>
  <c r="D121" i="26"/>
  <c r="D79" i="26"/>
  <c r="D84" i="26"/>
  <c r="D67" i="26"/>
  <c r="D64" i="26" s="1"/>
  <c r="D56" i="26"/>
  <c r="D55" i="26"/>
  <c r="D22" i="26"/>
  <c r="D20" i="26"/>
  <c r="D19" i="26"/>
  <c r="D18" i="26"/>
  <c r="D99" i="22"/>
  <c r="D90" i="22"/>
  <c r="D88" i="22"/>
  <c r="D87" i="22"/>
  <c r="G95" i="22"/>
  <c r="H95" i="22"/>
  <c r="D64" i="22"/>
  <c r="D57" i="22"/>
  <c r="D51" i="22"/>
  <c r="D48" i="22"/>
  <c r="D47" i="22"/>
  <c r="D43" i="22"/>
  <c r="D42" i="22"/>
  <c r="D41" i="22"/>
  <c r="D40" i="22"/>
  <c r="D38" i="22"/>
  <c r="D37" i="22"/>
  <c r="D35" i="22"/>
  <c r="D32" i="22"/>
  <c r="D31" i="22"/>
  <c r="D28" i="22"/>
  <c r="D27" i="22"/>
  <c r="D21" i="22"/>
  <c r="D8" i="22"/>
  <c r="D7" i="22"/>
  <c r="C96" i="14"/>
  <c r="C95" i="14"/>
  <c r="C94" i="14"/>
  <c r="C89" i="14"/>
  <c r="C93" i="14" s="1"/>
  <c r="C85" i="14"/>
  <c r="C81" i="14"/>
  <c r="C64" i="14"/>
  <c r="C57" i="14"/>
  <c r="C52" i="14"/>
  <c r="C49" i="14"/>
  <c r="C48" i="14"/>
  <c r="C47" i="14"/>
  <c r="C46" i="14"/>
  <c r="C45" i="14"/>
  <c r="C42" i="14"/>
  <c r="C25" i="14"/>
  <c r="C22" i="14"/>
  <c r="C16" i="14"/>
  <c r="C9" i="14"/>
  <c r="C15" i="14" s="1"/>
  <c r="C31" i="14" s="1"/>
  <c r="C36" i="14" s="1"/>
  <c r="C39" i="14" s="1"/>
  <c r="D44" i="22" l="1"/>
  <c r="C43" i="14"/>
  <c r="C40" i="14" s="1"/>
  <c r="G46" i="24" l="1"/>
  <c r="H103" i="22"/>
  <c r="G103" i="22"/>
  <c r="H102" i="22"/>
  <c r="G102" i="22"/>
  <c r="H101" i="22"/>
  <c r="G101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1" i="22"/>
  <c r="G81" i="22"/>
  <c r="H80" i="22"/>
  <c r="G80" i="22"/>
  <c r="H79" i="22"/>
  <c r="G79" i="22"/>
  <c r="H76" i="22"/>
  <c r="G76" i="22"/>
  <c r="H71" i="22"/>
  <c r="G71" i="22"/>
  <c r="H69" i="22"/>
  <c r="G69" i="22"/>
  <c r="H68" i="22"/>
  <c r="G68" i="22"/>
  <c r="H67" i="22"/>
  <c r="G67" i="22"/>
  <c r="H57" i="22"/>
  <c r="G57" i="22"/>
  <c r="H56" i="22"/>
  <c r="G56" i="22"/>
  <c r="H54" i="22"/>
  <c r="G54" i="22"/>
  <c r="H48" i="22"/>
  <c r="G48" i="22"/>
  <c r="H39" i="22"/>
  <c r="G39" i="22"/>
  <c r="H37" i="22"/>
  <c r="G37" i="22"/>
  <c r="H36" i="22"/>
  <c r="G36" i="22"/>
  <c r="H34" i="22"/>
  <c r="G34" i="22"/>
  <c r="H33" i="22"/>
  <c r="G33" i="22"/>
  <c r="H32" i="22"/>
  <c r="G32" i="22"/>
  <c r="H31" i="22"/>
  <c r="G31" i="22"/>
  <c r="H29" i="22"/>
  <c r="G29" i="22"/>
  <c r="H27" i="22"/>
  <c r="G27" i="22"/>
  <c r="H23" i="22"/>
  <c r="G23" i="22"/>
  <c r="H20" i="22"/>
  <c r="G20" i="22"/>
  <c r="H17" i="22"/>
  <c r="G17" i="22"/>
  <c r="H16" i="22"/>
  <c r="G16" i="22"/>
  <c r="H15" i="22"/>
  <c r="G15" i="22"/>
  <c r="H13" i="22"/>
  <c r="G13" i="22"/>
  <c r="F76" i="14"/>
  <c r="G76" i="14" s="1"/>
  <c r="F72" i="14"/>
  <c r="G72" i="14" s="1"/>
  <c r="G8" i="22" l="1"/>
  <c r="H11" i="22"/>
  <c r="G11" i="22"/>
  <c r="H9" i="22"/>
  <c r="G9" i="22"/>
  <c r="H8" i="22" l="1"/>
  <c r="F6" i="22"/>
  <c r="H12" i="22"/>
  <c r="F10" i="22"/>
  <c r="H14" i="22"/>
  <c r="G14" i="22"/>
  <c r="H18" i="22"/>
  <c r="G18" i="22"/>
  <c r="G12" i="22"/>
  <c r="M28" i="26"/>
  <c r="L28" i="26"/>
  <c r="M27" i="26"/>
  <c r="L27" i="26"/>
  <c r="M26" i="26"/>
  <c r="L26" i="26"/>
  <c r="K28" i="26"/>
  <c r="K27" i="26"/>
  <c r="K26" i="26"/>
  <c r="M20" i="26"/>
  <c r="L20" i="26"/>
  <c r="M19" i="26"/>
  <c r="L19" i="26"/>
  <c r="K20" i="26"/>
  <c r="K19" i="26"/>
  <c r="F73" i="26"/>
  <c r="F71" i="26" s="1"/>
  <c r="M12" i="26" l="1"/>
  <c r="M35" i="26" s="1"/>
  <c r="M11" i="26"/>
  <c r="M33" i="26" s="1"/>
  <c r="M13" i="26"/>
  <c r="M36" i="26" s="1"/>
  <c r="L13" i="26"/>
  <c r="L36" i="26" s="1"/>
  <c r="L12" i="26"/>
  <c r="L35" i="26" s="1"/>
  <c r="L11" i="26"/>
  <c r="L33" i="26" s="1"/>
  <c r="K12" i="26"/>
  <c r="K35" i="26" s="1"/>
  <c r="K11" i="26"/>
  <c r="K33" i="26" s="1"/>
  <c r="H206" i="26"/>
  <c r="G206" i="26"/>
  <c r="H204" i="26"/>
  <c r="G204" i="26"/>
  <c r="H200" i="26"/>
  <c r="G200" i="26"/>
  <c r="H192" i="26"/>
  <c r="G192" i="26"/>
  <c r="H191" i="26"/>
  <c r="G191" i="26"/>
  <c r="H190" i="26"/>
  <c r="G190" i="26"/>
  <c r="H186" i="26"/>
  <c r="G186" i="26"/>
  <c r="H183" i="26"/>
  <c r="G183" i="26"/>
  <c r="H182" i="26"/>
  <c r="G182" i="26"/>
  <c r="H180" i="26"/>
  <c r="G180" i="26"/>
  <c r="H179" i="26"/>
  <c r="G179" i="26"/>
  <c r="H174" i="26"/>
  <c r="G174" i="26"/>
  <c r="H169" i="26"/>
  <c r="G169" i="26"/>
  <c r="H165" i="26"/>
  <c r="G165" i="26"/>
  <c r="H164" i="26"/>
  <c r="G164" i="26"/>
  <c r="H163" i="26"/>
  <c r="G163" i="26"/>
  <c r="H144" i="26"/>
  <c r="G144" i="26"/>
  <c r="H143" i="26"/>
  <c r="G143" i="26"/>
  <c r="H141" i="26"/>
  <c r="G141" i="26"/>
  <c r="H140" i="26"/>
  <c r="G140" i="26"/>
  <c r="H139" i="26"/>
  <c r="G139" i="26"/>
  <c r="H138" i="26"/>
  <c r="G138" i="26"/>
  <c r="H137" i="26"/>
  <c r="G137" i="26"/>
  <c r="H136" i="26"/>
  <c r="G136" i="26"/>
  <c r="H130" i="26"/>
  <c r="G130" i="26"/>
  <c r="H75" i="26"/>
  <c r="G75" i="26"/>
  <c r="H74" i="26"/>
  <c r="G74" i="26"/>
  <c r="H70" i="26"/>
  <c r="G70" i="26"/>
  <c r="D78" i="26"/>
  <c r="D161" i="26"/>
  <c r="D159" i="26" s="1"/>
  <c r="H114" i="26"/>
  <c r="G114" i="26"/>
  <c r="H113" i="26"/>
  <c r="G113" i="26"/>
  <c r="D89" i="26"/>
  <c r="F111" i="26"/>
  <c r="F109" i="26" s="1"/>
  <c r="E112" i="26"/>
  <c r="E111" i="26" s="1"/>
  <c r="E109" i="26" s="1"/>
  <c r="D112" i="26"/>
  <c r="D111" i="26" s="1"/>
  <c r="D109" i="26" s="1"/>
  <c r="G110" i="26"/>
  <c r="H112" i="26" l="1"/>
  <c r="G112" i="26"/>
  <c r="H111" i="26" l="1"/>
  <c r="G111" i="26"/>
  <c r="I6" i="9"/>
  <c r="I18" i="9" s="1"/>
  <c r="D45" i="24"/>
  <c r="D5" i="24" l="1"/>
  <c r="H109" i="26"/>
  <c r="G109" i="26"/>
  <c r="F89" i="14"/>
  <c r="F85" i="14"/>
  <c r="F81" i="14"/>
  <c r="F64" i="14"/>
  <c r="F57" i="14"/>
  <c r="F52" i="14"/>
  <c r="F42" i="14"/>
  <c r="F96" i="22"/>
  <c r="F40" i="14" l="1"/>
  <c r="F93" i="14"/>
  <c r="F43" i="14"/>
  <c r="H49" i="22"/>
  <c r="G49" i="22"/>
  <c r="H58" i="22"/>
  <c r="G58" i="22"/>
  <c r="H65" i="22"/>
  <c r="G65" i="22"/>
  <c r="H40" i="22"/>
  <c r="G40" i="22"/>
  <c r="G28" i="22"/>
  <c r="H28" i="22"/>
  <c r="H50" i="22"/>
  <c r="G50" i="22"/>
  <c r="H60" i="22"/>
  <c r="G60" i="22"/>
  <c r="H83" i="22"/>
  <c r="G83" i="22"/>
  <c r="G41" i="22"/>
  <c r="H41" i="22"/>
  <c r="H51" i="22"/>
  <c r="G51" i="22"/>
  <c r="H62" i="22"/>
  <c r="G62" i="22"/>
  <c r="H84" i="22"/>
  <c r="G84" i="22"/>
  <c r="H42" i="22"/>
  <c r="G42" i="22"/>
  <c r="H52" i="22"/>
  <c r="G52" i="22"/>
  <c r="H63" i="22"/>
  <c r="G63" i="22"/>
  <c r="H85" i="22"/>
  <c r="G85" i="22"/>
  <c r="H43" i="22"/>
  <c r="G43" i="22"/>
  <c r="H45" i="22"/>
  <c r="G45" i="22"/>
  <c r="H53" i="22"/>
  <c r="G53" i="22"/>
  <c r="H64" i="22"/>
  <c r="G64" i="22"/>
  <c r="H86" i="22"/>
  <c r="G86" i="22"/>
  <c r="G35" i="22"/>
  <c r="H35" i="22"/>
  <c r="H46" i="22"/>
  <c r="G46" i="22"/>
  <c r="H55" i="22"/>
  <c r="G55" i="22"/>
  <c r="G47" i="22"/>
  <c r="H47" i="22"/>
  <c r="H30" i="22"/>
  <c r="G30" i="22"/>
  <c r="H38" i="22"/>
  <c r="G38" i="22"/>
  <c r="F44" i="22"/>
  <c r="E25" i="14" l="1"/>
  <c r="E22" i="14"/>
  <c r="E42" i="14" s="1"/>
  <c r="E16" i="14"/>
  <c r="E9" i="14"/>
  <c r="E43" i="14" s="1"/>
  <c r="E44" i="22"/>
  <c r="H44" i="22" s="1"/>
  <c r="E10" i="22"/>
  <c r="E104" i="26"/>
  <c r="E181" i="26"/>
  <c r="E178" i="26"/>
  <c r="E123" i="26"/>
  <c r="E73" i="26"/>
  <c r="E22" i="26"/>
  <c r="E40" i="14" l="1"/>
  <c r="L14" i="26"/>
  <c r="G178" i="26"/>
  <c r="H178" i="26"/>
  <c r="E71" i="26"/>
  <c r="H73" i="26"/>
  <c r="G73" i="26"/>
  <c r="G44" i="22"/>
  <c r="E15" i="14"/>
  <c r="E31" i="14" s="1"/>
  <c r="E36" i="14" s="1"/>
  <c r="E39" i="14" s="1"/>
  <c r="H71" i="26" l="1"/>
  <c r="G71" i="26"/>
  <c r="L13" i="9"/>
  <c r="K13" i="9"/>
  <c r="L11" i="9"/>
  <c r="K11" i="9"/>
  <c r="L10" i="9"/>
  <c r="K10" i="9"/>
  <c r="L8" i="9"/>
  <c r="K8" i="9"/>
  <c r="M8" i="9" s="1"/>
  <c r="L7" i="9"/>
  <c r="K7" i="9"/>
  <c r="K6" i="9"/>
  <c r="K18" i="9" s="1"/>
  <c r="L6" i="9"/>
  <c r="L18" i="9" s="1"/>
  <c r="F46" i="24"/>
  <c r="M10" i="9" l="1"/>
  <c r="M7" i="9"/>
  <c r="M13" i="9"/>
  <c r="M11" i="9"/>
  <c r="N7" i="9"/>
  <c r="N10" i="9"/>
  <c r="F45" i="24"/>
  <c r="G45" i="24"/>
  <c r="N11" i="9"/>
  <c r="M6" i="9"/>
  <c r="F39" i="24"/>
  <c r="F67" i="26"/>
  <c r="M29" i="26" s="1"/>
  <c r="F199" i="26"/>
  <c r="E199" i="26"/>
  <c r="D199" i="26"/>
  <c r="H199" i="26" l="1"/>
  <c r="G199" i="26"/>
  <c r="G181" i="26"/>
  <c r="H181" i="26"/>
  <c r="F177" i="26"/>
  <c r="E168" i="26"/>
  <c r="D168" i="26"/>
  <c r="D167" i="26" s="1"/>
  <c r="F161" i="26"/>
  <c r="E162" i="26"/>
  <c r="I135" i="26"/>
  <c r="I136" i="26" s="1"/>
  <c r="F89" i="26"/>
  <c r="F88" i="26" s="1"/>
  <c r="F86" i="26" s="1"/>
  <c r="F159" i="26" l="1"/>
  <c r="E167" i="26"/>
  <c r="H168" i="26"/>
  <c r="G168" i="26"/>
  <c r="H135" i="26"/>
  <c r="G135" i="26"/>
  <c r="E161" i="26"/>
  <c r="E159" i="26" s="1"/>
  <c r="H162" i="26"/>
  <c r="G162" i="26"/>
  <c r="F104" i="26"/>
  <c r="F103" i="26" s="1"/>
  <c r="H161" i="26" l="1"/>
  <c r="H167" i="26"/>
  <c r="G167" i="26"/>
  <c r="G161" i="26"/>
  <c r="H159" i="26"/>
  <c r="G159" i="26"/>
  <c r="E67" i="26"/>
  <c r="L29" i="26" s="1"/>
  <c r="F173" i="26" l="1"/>
  <c r="F172" i="26" l="1"/>
  <c r="H173" i="26"/>
  <c r="G173" i="26"/>
  <c r="C42" i="24"/>
  <c r="D205" i="26"/>
  <c r="D197" i="26"/>
  <c r="D190" i="26"/>
  <c r="D181" i="26"/>
  <c r="K14" i="26" s="1"/>
  <c r="D178" i="26"/>
  <c r="D173" i="26"/>
  <c r="D172" i="26" s="1"/>
  <c r="D170" i="26" s="1"/>
  <c r="D134" i="26"/>
  <c r="D133" i="26" s="1"/>
  <c r="D131" i="26" s="1"/>
  <c r="D129" i="26"/>
  <c r="D128" i="26"/>
  <c r="D126" i="26" s="1"/>
  <c r="D124" i="26"/>
  <c r="D123" i="26" s="1"/>
  <c r="D118" i="26"/>
  <c r="D117" i="26" s="1"/>
  <c r="D104" i="26"/>
  <c r="D103" i="26" s="1"/>
  <c r="D88" i="26"/>
  <c r="D86" i="26" s="1"/>
  <c r="D76" i="26"/>
  <c r="D57" i="26"/>
  <c r="D51" i="26"/>
  <c r="D9" i="26"/>
  <c r="D19" i="22"/>
  <c r="D10" i="22"/>
  <c r="D6" i="22"/>
  <c r="H125" i="26"/>
  <c r="H91" i="26"/>
  <c r="G91" i="26"/>
  <c r="H90" i="26"/>
  <c r="G90" i="26"/>
  <c r="H52" i="26"/>
  <c r="H40" i="26"/>
  <c r="H21" i="26"/>
  <c r="H18" i="26"/>
  <c r="M18" i="9"/>
  <c r="K18" i="26" l="1"/>
  <c r="K22" i="26"/>
  <c r="K24" i="26"/>
  <c r="K29" i="26"/>
  <c r="D95" i="26"/>
  <c r="K10" i="26" s="1"/>
  <c r="D203" i="26"/>
  <c r="D201" i="26" s="1"/>
  <c r="K13" i="26"/>
  <c r="K36" i="26" s="1"/>
  <c r="F170" i="26"/>
  <c r="H172" i="26"/>
  <c r="G172" i="26"/>
  <c r="D78" i="22"/>
  <c r="C5" i="24"/>
  <c r="D50" i="26"/>
  <c r="K17" i="26" s="1"/>
  <c r="D177" i="26"/>
  <c r="D175" i="26" s="1"/>
  <c r="D115" i="26"/>
  <c r="D5" i="22"/>
  <c r="D82" i="22"/>
  <c r="D26" i="22"/>
  <c r="D8" i="26"/>
  <c r="G43" i="24"/>
  <c r="K32" i="26" l="1"/>
  <c r="K37" i="26"/>
  <c r="D94" i="26"/>
  <c r="D92" i="26" s="1"/>
  <c r="K9" i="26"/>
  <c r="K7" i="26" s="1"/>
  <c r="H170" i="26"/>
  <c r="G170" i="26"/>
  <c r="D6" i="26"/>
  <c r="D5" i="26" s="1"/>
  <c r="F42" i="24"/>
  <c r="E5" i="24"/>
  <c r="G42" i="24"/>
  <c r="K39" i="26" l="1"/>
  <c r="F9" i="26"/>
  <c r="G21" i="26"/>
  <c r="E21" i="22"/>
  <c r="E6" i="22"/>
  <c r="H63" i="26"/>
  <c r="H62" i="26"/>
  <c r="F128" i="26"/>
  <c r="F126" i="26" l="1"/>
  <c r="H21" i="22"/>
  <c r="G21" i="22"/>
  <c r="F57" i="26"/>
  <c r="M22" i="26" l="1"/>
  <c r="M37" i="26" s="1"/>
  <c r="E49" i="14"/>
  <c r="E48" i="14"/>
  <c r="E47" i="14"/>
  <c r="E46" i="14"/>
  <c r="E45" i="14"/>
  <c r="F49" i="14"/>
  <c r="F48" i="14"/>
  <c r="F47" i="14"/>
  <c r="F46" i="14"/>
  <c r="D49" i="14"/>
  <c r="D48" i="14"/>
  <c r="D47" i="14"/>
  <c r="D46" i="14"/>
  <c r="F82" i="22" l="1"/>
  <c r="F78" i="22"/>
  <c r="E9" i="26" l="1"/>
  <c r="E8" i="26" l="1"/>
  <c r="F78" i="26"/>
  <c r="F8" i="26" l="1"/>
  <c r="I8" i="26" s="1"/>
  <c r="G119" i="26" l="1"/>
  <c r="G13" i="26" l="1"/>
  <c r="E19" i="22" l="1"/>
  <c r="E205" i="26" l="1"/>
  <c r="F205" i="26"/>
  <c r="H205" i="26" l="1"/>
  <c r="G205" i="26"/>
  <c r="E78" i="22"/>
  <c r="H78" i="22" l="1"/>
  <c r="G78" i="22"/>
  <c r="F95" i="26" l="1"/>
  <c r="F94" i="26" s="1"/>
  <c r="D25" i="14" l="1"/>
  <c r="D22" i="14"/>
  <c r="D42" i="14" s="1"/>
  <c r="D16" i="14"/>
  <c r="D9" i="14"/>
  <c r="D15" i="14" s="1"/>
  <c r="D31" i="14" l="1"/>
  <c r="D36" i="14" s="1"/>
  <c r="D39" i="14" s="1"/>
  <c r="D43" i="14"/>
  <c r="D40" i="14" s="1"/>
  <c r="H13" i="14" l="1"/>
  <c r="F203" i="26"/>
  <c r="E203" i="26"/>
  <c r="E201" i="26" s="1"/>
  <c r="F201" i="26" l="1"/>
  <c r="G203" i="26"/>
  <c r="H203" i="26"/>
  <c r="H14" i="14"/>
  <c r="H53" i="14"/>
  <c r="H32" i="14"/>
  <c r="H27" i="14"/>
  <c r="H28" i="14"/>
  <c r="G37" i="24"/>
  <c r="G38" i="24"/>
  <c r="G36" i="24"/>
  <c r="H120" i="26"/>
  <c r="H121" i="26"/>
  <c r="H122" i="26"/>
  <c r="H119" i="26"/>
  <c r="H98" i="26"/>
  <c r="H99" i="26"/>
  <c r="H100" i="26"/>
  <c r="H101" i="26"/>
  <c r="H102" i="26"/>
  <c r="H96" i="26"/>
  <c r="H80" i="26"/>
  <c r="H61" i="26"/>
  <c r="H24" i="26"/>
  <c r="H25" i="26"/>
  <c r="H26" i="26"/>
  <c r="H27" i="26"/>
  <c r="H28" i="26"/>
  <c r="H29" i="26"/>
  <c r="H31" i="26"/>
  <c r="H32" i="26"/>
  <c r="H33" i="26"/>
  <c r="H35" i="26"/>
  <c r="H36" i="26"/>
  <c r="H37" i="26"/>
  <c r="H39" i="26"/>
  <c r="H41" i="26"/>
  <c r="H43" i="26"/>
  <c r="H45" i="26"/>
  <c r="H23" i="26"/>
  <c r="G10" i="26"/>
  <c r="H10" i="26" s="1"/>
  <c r="G11" i="26"/>
  <c r="H11" i="26" s="1"/>
  <c r="G12" i="26"/>
  <c r="H12" i="26" s="1"/>
  <c r="G14" i="26"/>
  <c r="H14" i="26" s="1"/>
  <c r="G15" i="26"/>
  <c r="H15" i="26" s="1"/>
  <c r="H201" i="26" l="1"/>
  <c r="G201" i="26"/>
  <c r="E89" i="26"/>
  <c r="F123" i="26"/>
  <c r="F37" i="24"/>
  <c r="F38" i="24"/>
  <c r="F36" i="24"/>
  <c r="H89" i="26" l="1"/>
  <c r="G89" i="26"/>
  <c r="E88" i="26"/>
  <c r="E86" i="26" s="1"/>
  <c r="E197" i="26" l="1"/>
  <c r="F26" i="22"/>
  <c r="F118" i="26" l="1"/>
  <c r="F117" i="26" l="1"/>
  <c r="F115" i="26" s="1"/>
  <c r="F197" i="26"/>
  <c r="F50" i="26"/>
  <c r="M17" i="26" s="1"/>
  <c r="G36" i="26"/>
  <c r="I17" i="26" l="1"/>
  <c r="H197" i="26"/>
  <c r="G197" i="26"/>
  <c r="F6" i="26"/>
  <c r="E118" i="26" l="1"/>
  <c r="E95" i="26"/>
  <c r="E94" i="26" s="1"/>
  <c r="E78" i="26"/>
  <c r="E57" i="26"/>
  <c r="L22" i="26" s="1"/>
  <c r="L37" i="26" s="1"/>
  <c r="E82" i="22"/>
  <c r="H82" i="22" l="1"/>
  <c r="G82" i="22"/>
  <c r="E76" i="26"/>
  <c r="E117" i="26"/>
  <c r="E115" i="26" s="1"/>
  <c r="H118" i="26"/>
  <c r="H117" i="26" l="1"/>
  <c r="F134" i="26" l="1"/>
  <c r="F133" i="26" s="1"/>
  <c r="F131" i="26" s="1"/>
  <c r="I132" i="26" s="1"/>
  <c r="E177" i="26"/>
  <c r="E134" i="26"/>
  <c r="E129" i="26"/>
  <c r="L18" i="26" s="1"/>
  <c r="E64" i="26"/>
  <c r="L24" i="26" s="1"/>
  <c r="H19" i="26"/>
  <c r="H20" i="26"/>
  <c r="E133" i="26" l="1"/>
  <c r="L10" i="26"/>
  <c r="L32" i="26" s="1"/>
  <c r="L39" i="26" s="1"/>
  <c r="E175" i="26"/>
  <c r="H177" i="26"/>
  <c r="G177" i="26"/>
  <c r="H134" i="26"/>
  <c r="G134" i="26"/>
  <c r="M10" i="26"/>
  <c r="E128" i="26"/>
  <c r="G19" i="26"/>
  <c r="G20" i="26"/>
  <c r="H175" i="26" l="1"/>
  <c r="G175" i="26"/>
  <c r="H133" i="26"/>
  <c r="G133" i="26"/>
  <c r="M9" i="26"/>
  <c r="G128" i="26"/>
  <c r="H128" i="26"/>
  <c r="E131" i="26"/>
  <c r="L9" i="26"/>
  <c r="E126" i="26"/>
  <c r="F76" i="26"/>
  <c r="H79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3" i="14"/>
  <c r="G74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M7" i="26" l="1"/>
  <c r="G131" i="26"/>
  <c r="H131" i="26"/>
  <c r="G126" i="26"/>
  <c r="H126" i="26"/>
  <c r="F129" i="26"/>
  <c r="E103" i="26"/>
  <c r="E99" i="22"/>
  <c r="E26" i="22"/>
  <c r="F19" i="22"/>
  <c r="E5" i="22"/>
  <c r="H129" i="26" l="1"/>
  <c r="G129" i="26"/>
  <c r="M18" i="26"/>
  <c r="M32" i="26" s="1"/>
  <c r="M39" i="26" s="1"/>
  <c r="G19" i="22"/>
  <c r="H19" i="22"/>
  <c r="H26" i="22"/>
  <c r="G26" i="22"/>
  <c r="H99" i="22"/>
  <c r="G99" i="22"/>
  <c r="H88" i="26"/>
  <c r="G88" i="26"/>
  <c r="H22" i="26"/>
  <c r="F92" i="26"/>
  <c r="F5" i="26" s="1"/>
  <c r="G9" i="26"/>
  <c r="H9" i="26"/>
  <c r="E92" i="26"/>
  <c r="F5" i="22"/>
  <c r="E50" i="26"/>
  <c r="L17" i="26" s="1"/>
  <c r="L7" i="26" s="1"/>
  <c r="J5" i="26" l="1"/>
  <c r="E6" i="26"/>
  <c r="E5" i="26" s="1"/>
  <c r="G86" i="26"/>
  <c r="H34" i="14"/>
  <c r="E81" i="14" l="1"/>
  <c r="F50" i="14"/>
  <c r="F5" i="24"/>
  <c r="H64" i="26"/>
  <c r="G64" i="26"/>
  <c r="G62" i="26"/>
  <c r="G61" i="26"/>
  <c r="H60" i="26"/>
  <c r="G60" i="26"/>
  <c r="H59" i="26"/>
  <c r="G59" i="26"/>
  <c r="G58" i="26"/>
  <c r="H57" i="26"/>
  <c r="G57" i="26"/>
  <c r="G125" i="26"/>
  <c r="H124" i="26"/>
  <c r="G124" i="26"/>
  <c r="H123" i="26"/>
  <c r="G123" i="26"/>
  <c r="G122" i="26"/>
  <c r="G121" i="26"/>
  <c r="G120" i="26"/>
  <c r="G118" i="26"/>
  <c r="G117" i="26"/>
  <c r="G116" i="26"/>
  <c r="H115" i="26"/>
  <c r="G115" i="26"/>
  <c r="H108" i="26"/>
  <c r="G108" i="26"/>
  <c r="H107" i="26"/>
  <c r="G107" i="26"/>
  <c r="H106" i="26"/>
  <c r="G106" i="26"/>
  <c r="H105" i="26"/>
  <c r="G105" i="26"/>
  <c r="H104" i="26"/>
  <c r="G104" i="26"/>
  <c r="H103" i="26"/>
  <c r="G103" i="26"/>
  <c r="G101" i="26"/>
  <c r="G100" i="26"/>
  <c r="G99" i="26"/>
  <c r="G98" i="26"/>
  <c r="G96" i="26"/>
  <c r="H95" i="26"/>
  <c r="G95" i="26"/>
  <c r="H94" i="26"/>
  <c r="G94" i="26"/>
  <c r="G93" i="26"/>
  <c r="G92" i="26"/>
  <c r="H85" i="26"/>
  <c r="G85" i="26"/>
  <c r="H84" i="26"/>
  <c r="G84" i="26"/>
  <c r="G80" i="26"/>
  <c r="H76" i="26"/>
  <c r="G76" i="26"/>
  <c r="G79" i="26"/>
  <c r="H56" i="26"/>
  <c r="G56" i="26"/>
  <c r="H55" i="26"/>
  <c r="G55" i="26"/>
  <c r="G53" i="26"/>
  <c r="H53" i="26" s="1"/>
  <c r="G52" i="26"/>
  <c r="H51" i="26"/>
  <c r="G51" i="26"/>
  <c r="H50" i="26"/>
  <c r="G50" i="26"/>
  <c r="G45" i="26"/>
  <c r="G43" i="26"/>
  <c r="G41" i="26"/>
  <c r="G40" i="26"/>
  <c r="G39" i="26"/>
  <c r="G37" i="26"/>
  <c r="G35" i="26"/>
  <c r="G33" i="26"/>
  <c r="G32" i="26"/>
  <c r="G31" i="26"/>
  <c r="G29" i="26"/>
  <c r="G28" i="26"/>
  <c r="G27" i="26"/>
  <c r="G26" i="26"/>
  <c r="G25" i="26"/>
  <c r="G24" i="26"/>
  <c r="G23" i="26"/>
  <c r="G22" i="26"/>
  <c r="G18" i="26"/>
  <c r="H17" i="26"/>
  <c r="G17" i="26"/>
  <c r="G5" i="26" l="1"/>
  <c r="H5" i="26"/>
  <c r="G94" i="14"/>
  <c r="H94" i="14"/>
  <c r="H96" i="14"/>
  <c r="G96" i="14"/>
  <c r="H81" i="14"/>
  <c r="G81" i="14"/>
  <c r="G95" i="14"/>
  <c r="H95" i="14"/>
  <c r="G6" i="24"/>
  <c r="F6" i="24"/>
  <c r="G102" i="26"/>
  <c r="H92" i="26"/>
  <c r="G78" i="26"/>
  <c r="H78" i="26"/>
  <c r="G40" i="14" l="1"/>
  <c r="G39" i="14"/>
  <c r="G36" i="14"/>
  <c r="D70" i="14" l="1"/>
  <c r="D50" i="14"/>
  <c r="D68" i="14" l="1"/>
  <c r="H25" i="14"/>
  <c r="H16" i="14"/>
  <c r="G8" i="14"/>
  <c r="H8" i="14"/>
  <c r="G10" i="14"/>
  <c r="H10" i="14"/>
  <c r="G11" i="14"/>
  <c r="H11" i="14"/>
  <c r="G12" i="14"/>
  <c r="H12" i="14"/>
  <c r="G17" i="14"/>
  <c r="H17" i="14"/>
  <c r="G18" i="14"/>
  <c r="H18" i="14"/>
  <c r="G19" i="14"/>
  <c r="H19" i="14"/>
  <c r="G20" i="14"/>
  <c r="G21" i="14"/>
  <c r="H21" i="14"/>
  <c r="G23" i="14"/>
  <c r="G24" i="14"/>
  <c r="H24" i="14"/>
  <c r="G30" i="14"/>
  <c r="H30" i="14"/>
  <c r="H69" i="26"/>
  <c r="G69" i="26"/>
  <c r="H67" i="26"/>
  <c r="G67" i="26"/>
  <c r="H66" i="26"/>
  <c r="G66" i="26"/>
  <c r="G25" i="14" l="1"/>
  <c r="G16" i="14"/>
  <c r="H9" i="14"/>
  <c r="H15" i="14"/>
  <c r="G9" i="14"/>
  <c r="H42" i="14"/>
  <c r="G42" i="14"/>
  <c r="G22" i="14"/>
  <c r="H22" i="14"/>
  <c r="H31" i="14" l="1"/>
  <c r="G15" i="14"/>
  <c r="H43" i="14"/>
  <c r="G43" i="14"/>
  <c r="G31" i="14" l="1"/>
  <c r="H65" i="26" l="1"/>
  <c r="G65" i="26"/>
  <c r="H8" i="26"/>
  <c r="G8" i="26"/>
  <c r="G6" i="26"/>
  <c r="H10" i="22"/>
  <c r="G10" i="22"/>
  <c r="H6" i="22"/>
  <c r="G6" i="22"/>
  <c r="H5" i="22"/>
  <c r="G5" i="22"/>
  <c r="H6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E85" i="14"/>
  <c r="G85" i="14" l="1"/>
  <c r="H85" i="14"/>
  <c r="H50" i="14"/>
  <c r="G50" i="14"/>
  <c r="E89" i="14" l="1"/>
  <c r="E93" i="14" s="1"/>
  <c r="H89" i="14" l="1"/>
  <c r="G89" i="14"/>
  <c r="G5" i="24"/>
  <c r="H93" i="14" l="1"/>
  <c r="G93" i="14"/>
  <c r="H72" i="14"/>
  <c r="H59" i="14"/>
  <c r="H66" i="14"/>
  <c r="H67" i="14"/>
  <c r="C70" i="14" l="1"/>
  <c r="E70" i="14"/>
  <c r="F70" i="14"/>
  <c r="G70" i="14" s="1"/>
  <c r="H70" i="14" l="1"/>
  <c r="E64" i="14"/>
  <c r="E57" i="14"/>
  <c r="E52" i="14"/>
  <c r="G64" i="14" l="1"/>
  <c r="G57" i="14"/>
  <c r="H64" i="14"/>
  <c r="H57" i="14"/>
  <c r="C68" i="14"/>
  <c r="E68" i="14"/>
  <c r="H55" i="14" l="1"/>
  <c r="H52" i="14" l="1"/>
  <c r="G52" i="14"/>
  <c r="F68" i="14"/>
  <c r="G68" i="14" s="1"/>
  <c r="H68" i="14" l="1"/>
</calcChain>
</file>

<file path=xl/sharedStrings.xml><?xml version="1.0" encoding="utf-8"?>
<sst xmlns="http://schemas.openxmlformats.org/spreadsheetml/2006/main" count="637" uniqueCount="383">
  <si>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</si>
  <si>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</si>
  <si>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</si>
  <si>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</si>
  <si>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</si>
  <si>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</si>
  <si>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</si>
  <si>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</si>
  <si>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</si>
  <si>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</si>
  <si>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</si>
  <si>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</si>
  <si>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</si>
  <si>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</si>
  <si>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</si>
  <si>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</si>
  <si>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</si>
  <si>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</si>
  <si>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</si>
  <si>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</si>
  <si>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</si>
  <si>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</si>
  <si>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</si>
  <si>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</si>
  <si>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</si>
  <si>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</si>
  <si>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</si>
  <si>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</si>
  <si>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</si>
  <si>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</si>
  <si>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</si>
  <si>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</si>
  <si>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</si>
  <si>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</si>
  <si>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</si>
  <si>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</si>
  <si>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</si>
  <si>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</si>
  <si>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</si>
  <si>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</si>
  <si>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</si>
  <si>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</si>
  <si>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</si>
  <si>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</si>
  <si>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</si>
  <si>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</si>
  <si>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</si>
  <si>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</si>
  <si>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</si>
  <si>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</si>
  <si>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</si>
  <si>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</si>
  <si>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</si>
  <si>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</si>
  <si>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</si>
  <si>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</si>
  <si>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</si>
  <si>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</si>
  <si>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</si>
  <si>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</si>
  <si>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</si>
  <si>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</si>
  <si>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</si>
  <si>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</si>
  <si>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</si>
  <si>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</si>
  <si>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</si>
  <si>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</si>
  <si>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</si>
  <si>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</si>
  <si>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</si>
  <si>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</si>
  <si>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</si>
  <si>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</si>
  <si>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</si>
  <si>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</si>
  <si>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</si>
  <si>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</si>
  <si>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</si>
  <si>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</si>
  <si>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</si>
  <si>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</si>
  <si>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</si>
  <si>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</si>
  <si>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</si>
  <si>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</si>
  <si>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</si>
  <si>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</si>
  <si>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</si>
  <si>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</si>
  <si>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</si>
  <si>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</si>
  <si>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</si>
  <si>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</si>
  <si>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</si>
  <si>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</si>
  <si>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</si>
  <si>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</si>
  <si>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</si>
  <si>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</si>
  <si>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</si>
  <si>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</si>
  <si>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</si>
  <si>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</si>
  <si>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</si>
  <si>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Власні кошти</t>
  </si>
  <si>
    <t>Усього:</t>
  </si>
  <si>
    <t>кошти державного бюджету від Національної служби здоров'я України</t>
  </si>
  <si>
    <t>6.</t>
  </si>
  <si>
    <t>7.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</si>
  <si>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</si>
  <si>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</si>
  <si>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</si>
  <si>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</si>
  <si>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</si>
  <si>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</si>
  <si>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</si>
  <si>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</si>
  <si>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</si>
  <si>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</si>
  <si>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</si>
  <si>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</si>
  <si>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</si>
  <si>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обстеження медичних працівників</t>
  </si>
  <si>
    <t>заходи по радіаційній безпеці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</si>
  <si>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</si>
  <si>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</si>
  <si>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</si>
  <si>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</si>
  <si>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навчання у сфері цивільного захисту та охорони праці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</si>
  <si>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</si>
  <si>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</si>
  <si>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</si>
  <si>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</si>
  <si>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</si>
  <si>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</si>
  <si>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</si>
  <si>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9.</t>
  </si>
  <si>
    <t>10.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</si>
  <si>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</si>
  <si>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</si>
  <si>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</si>
  <si>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</si>
  <si>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</si>
  <si>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</si>
  <si>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ремонт медичного обладнання та поточний ремонт приміщень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</si>
  <si>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</si>
  <si>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</si>
  <si>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</si>
  <si>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</si>
  <si>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</si>
  <si>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</si>
  <si>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</si>
  <si>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</si>
  <si>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план</t>
  </si>
  <si>
    <t>кошти отримані від реалізації майна</t>
  </si>
  <si>
    <t>Інші фінансові доходи, усього, у тому числі:</t>
  </si>
  <si>
    <t>надходження від відсотків за залишками коштів на депозитних рахунках</t>
  </si>
  <si>
    <t>2.1</t>
  </si>
  <si>
    <t>інформаційно-консультативні послуги</t>
  </si>
  <si>
    <t>гістологічне дослідження (патанатомія)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</si>
  <si>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</si>
  <si>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</si>
  <si>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</si>
  <si>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</si>
  <si>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</si>
  <si>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</si>
  <si>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</si>
  <si>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</si>
  <si>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4.1</t>
  </si>
  <si>
    <t>4.1.1</t>
  </si>
  <si>
    <t>Кошти орендарів (відшкодування за енергоносії)</t>
  </si>
  <si>
    <t>9.1</t>
  </si>
  <si>
    <t>супровід програмного забезпечення</t>
  </si>
  <si>
    <t>навчання у сфері цивільного захисту, охорони праці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</si>
  <si>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</si>
  <si>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</si>
  <si>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</si>
  <si>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6.1.1</t>
  </si>
  <si>
    <t>7.1</t>
  </si>
  <si>
    <t>7.1.1</t>
  </si>
  <si>
    <t>7.2</t>
  </si>
  <si>
    <t>8.1</t>
  </si>
  <si>
    <t>8.1.1</t>
  </si>
  <si>
    <t>предмети, матеріали, обладнання та інвентар</t>
  </si>
  <si>
    <t>Надходження від відсотків за залишками коштів на депозитних рахунках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</si>
  <si>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</si>
  <si>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</si>
  <si>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</si>
  <si>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</si>
  <si>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</si>
  <si>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</si>
  <si>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</si>
  <si>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</si>
  <si>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</si>
  <si>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</si>
  <si>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</si>
  <si>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канцтовари</t>
  </si>
  <si>
    <t>Інші адміністративні витрати,усього, в т.ч.:</t>
  </si>
  <si>
    <t>Інші операційні витрати, усього, в т.ч.: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</si>
  <si>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</si>
  <si>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</si>
  <si>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</si>
  <si>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</si>
  <si>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</si>
  <si>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</si>
  <si>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Матеріальні витрати, усього, в т.ч.:</t>
  </si>
  <si>
    <t>Нарахування амортизації на безоплатно отримані активи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</si>
  <si>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</si>
  <si>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</si>
  <si>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</si>
  <si>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</si>
  <si>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 xml:space="preserve">Нараховані до сплати податки та збори до Державного бюджету України (податкові платежі) </t>
  </si>
  <si>
    <t>витрати на відрядження (проїзний - поповнення безконтактної неперсоніфікованої смарт - карти на проїзд)</t>
  </si>
  <si>
    <t>утилізація ламп, мед.відходів</t>
  </si>
  <si>
    <t>господарські товари, запчастини</t>
  </si>
  <si>
    <t>Амортизація основних засобів</t>
  </si>
  <si>
    <t>Капітальні інвестиції, усього, у тому числі:</t>
  </si>
  <si>
    <t>Директор КНП "ВМКЛШМД"</t>
  </si>
  <si>
    <t>атестація робочих місць</t>
  </si>
  <si>
    <t>1.1.4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</si>
  <si>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</si>
  <si>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</si>
  <si>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</si>
  <si>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</si>
  <si>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</si>
  <si>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</si>
  <si>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</si>
  <si>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</si>
  <si>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</si>
  <si>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3.</t>
  </si>
  <si>
    <t>3.1</t>
  </si>
  <si>
    <t>3.1.1</t>
  </si>
  <si>
    <t>7.2.1</t>
  </si>
  <si>
    <t>11.</t>
  </si>
  <si>
    <t>11.1</t>
  </si>
  <si>
    <t>предмети, матеріали, обладнання, інвентар (носилки, кліщі)</t>
  </si>
  <si>
    <t>1.2.4</t>
  </si>
  <si>
    <t>1.3.1</t>
  </si>
  <si>
    <t>в дохід бюджету зарплата минулих періодів</t>
  </si>
  <si>
    <t>предмети, матеріали, обладнання, інвентар (принтери, меблі, сервер, акумул.батарея, картриджі)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</si>
  <si>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</si>
  <si>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</si>
  <si>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</si>
  <si>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</si>
  <si>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оплата послуг (крім комунальних): ремонт обладнання, поточні рем.та ін.; страхування автоцивілки, послуги банку</t>
  </si>
  <si>
    <t>господарські товари, енергозберігаючі лампочки, картриджі, запчастини</t>
  </si>
  <si>
    <t>-</t>
  </si>
  <si>
    <t>за повідомлення про погодж.тарифу на проходження стажування лік.-інтернів ("Вінницька газета")</t>
  </si>
  <si>
    <t>5.2</t>
  </si>
  <si>
    <t>5.2.1</t>
  </si>
  <si>
    <t>Олександр ФОМІН</t>
  </si>
  <si>
    <t>Благодійні внески (натура)</t>
  </si>
  <si>
    <t>Благодійні внески (натура)(залишки минулих періодів)</t>
  </si>
  <si>
    <t>добудова головного корпусу КНП "ВМКЛ ШМД" за адресою: м.Вінниця, вул. Київська, 68</t>
  </si>
  <si>
    <t xml:space="preserve">            (підпис)</t>
  </si>
  <si>
    <t>благодійні внески (натуральні поеказники)</t>
  </si>
  <si>
    <t>ремонт медичного та іншого обладнання</t>
  </si>
  <si>
    <t>виготовл.і встановлення металопластиков.конструкцій</t>
  </si>
  <si>
    <t>інформ.-консультативні послуги; навчання</t>
  </si>
  <si>
    <t>ТО диз.генератора, газового обладн., аварійного освітлення, перев.і випробування пожеж.гідрантів, ел.вимірювання, тех.нагляд за об'єктами, промивка та випробув. сист.опалення, перев.дозоформ.параметри, встановлення камери відеоспостереження, розробка паспортів вентиляції в добудові</t>
  </si>
  <si>
    <t>господарські товари, енергозберігаючі лампочки, миючі засоби</t>
  </si>
  <si>
    <t>Благодійні внески (кошти)</t>
  </si>
  <si>
    <t>Централізоване постачання</t>
  </si>
  <si>
    <t>адвокадські послуги, що стосуються статутної діяльності</t>
  </si>
  <si>
    <t>Відшкодування в бюджет (за скоєння злочину)</t>
  </si>
  <si>
    <t>Інші операційні витрати, усього, у т.ч.:</t>
  </si>
  <si>
    <t>монітор мед.рідкокристалічний MDNC-2123</t>
  </si>
  <si>
    <t>система холтерівського моніторування ЕКГ "ECGpro Holter", комплект у складі 4 одиниць</t>
  </si>
  <si>
    <t>серевер ARTLINE для обслуговування МІС "Д-р Елекс"</t>
  </si>
  <si>
    <t>мережеве сховище інформації SYNOLOGY NASDS220+</t>
  </si>
  <si>
    <t>капітальний ремонт</t>
  </si>
  <si>
    <t>капітальний ремонт частини приміщень в рамках проекту EMERGENCY-2020 (під ангіограф), технічний нагляд за об'єктом</t>
  </si>
  <si>
    <t>Придбання (виготовлення) основних засобів, усього, у т.ч.:</t>
  </si>
  <si>
    <t>оплата послуг (крім комунальних): ремонт обладнання, поточні рем.та ін.</t>
  </si>
  <si>
    <r>
      <t>Кошти державного бюджету від Національної служби здоров'я України (</t>
    </r>
    <r>
      <rPr>
        <b/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лікарів-інтернів)</t>
    </r>
  </si>
  <si>
    <t>(    )</t>
  </si>
  <si>
    <t>виготовлення і встановлення металопластикових конструкцій</t>
  </si>
  <si>
    <t>Кошти  бюджету Вінницької міської територіальної громади (ВМТГ) (залишки минулих періодів)</t>
  </si>
  <si>
    <t>8.</t>
  </si>
  <si>
    <t>3.1.2</t>
  </si>
  <si>
    <t>3.1.3</t>
  </si>
  <si>
    <t>11.1.1</t>
  </si>
  <si>
    <t>12.</t>
  </si>
  <si>
    <t>12.1</t>
  </si>
  <si>
    <t>12.1.1</t>
  </si>
  <si>
    <t>13.</t>
  </si>
  <si>
    <t>13.1</t>
  </si>
  <si>
    <t>13.1.1</t>
  </si>
  <si>
    <t>13.1.2</t>
  </si>
  <si>
    <t>13.2</t>
  </si>
  <si>
    <t>13.2.1</t>
  </si>
  <si>
    <t>14.</t>
  </si>
  <si>
    <t>14.1</t>
  </si>
  <si>
    <t>14.1.1</t>
  </si>
  <si>
    <t>благодійні внески (кошти)</t>
  </si>
  <si>
    <t>централізоване постачання</t>
  </si>
  <si>
    <t xml:space="preserve">кошти бюджету Вінницької міської територіальної громади </t>
  </si>
  <si>
    <t>кошти бюджету Вінницької міської територіальної громади (залишки минулих періодів)</t>
  </si>
  <si>
    <r>
      <t>кошти державного бюджету від Національної служби здоров'я України (</t>
    </r>
    <r>
      <rPr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</t>
    </r>
    <r>
      <rPr>
        <sz val="14"/>
        <rFont val="Times New Roman"/>
        <family val="1"/>
        <charset val="204"/>
      </rPr>
      <t>)</t>
    </r>
  </si>
  <si>
    <t>кошти з відшкодування по нещасним випадкам на виробництві і за скоєння злочину</t>
  </si>
  <si>
    <t>15.</t>
  </si>
  <si>
    <t>15.1</t>
  </si>
  <si>
    <t>15.2</t>
  </si>
  <si>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І півріччя 2023 року   </t>
  </si>
  <si>
    <t>І півріччя 2022 року</t>
  </si>
  <si>
    <t>І півріччя 2023 року</t>
  </si>
  <si>
    <t>Звітний період І півріччя 2023 року</t>
  </si>
  <si>
    <t>Факт І півріччя 2022 року</t>
  </si>
  <si>
    <t>Факт І півріччя 2023 року</t>
  </si>
  <si>
    <t>План І півріччя 2023 року</t>
  </si>
  <si>
    <t>оприбуткування активів від ліквідації</t>
  </si>
  <si>
    <t>обрізка дерев</t>
  </si>
  <si>
    <t>виготовл.і встановл захисної перегородки (КТ)</t>
  </si>
  <si>
    <t>корегування проект.-коштор.документації по об'єкту "Капіт.ремонт приміщень лікарні"</t>
  </si>
  <si>
    <t>комісія банку, послуги митного брокера, короткочасне перебування в зоні митного контролю</t>
  </si>
  <si>
    <t>комісія банку, послуги митного брокера</t>
  </si>
  <si>
    <t>Кошти  бюджету Вінницької міської обєднаної територіальної громади(ВМОТГ) /бюджету Вінницької міської територіальної громади (ВМТГ)</t>
  </si>
  <si>
    <t>Інші витрати:</t>
  </si>
  <si>
    <t>ремонт обладнання, поточні ремонти та ін.</t>
  </si>
  <si>
    <t>медогляд, досл.ІФА</t>
  </si>
  <si>
    <t>виг.і встановл захисної перегородки (КТ)</t>
  </si>
  <si>
    <t>збір та утилізація мед.відходів</t>
  </si>
  <si>
    <t>Інші адміністративні витрати, усього, в т.ч.:</t>
  </si>
  <si>
    <t>короткочасне перебування в зоні митного контролю</t>
  </si>
  <si>
    <t>9.1.2</t>
  </si>
  <si>
    <t>9.2</t>
  </si>
  <si>
    <t xml:space="preserve">предмети, матеріали, господарські товари, енергозберігаючі лампочки, картриджі, миючі засоби, захисні накладки  на вікна для каб. КТ, монітор </t>
  </si>
  <si>
    <t>Кошти від власних надходжень (стажування лікарів-інтернів та медичне обслуговування іноземних громадян) (залишки коштів минулих періодів)</t>
  </si>
  <si>
    <t>система рентгенівська діагн.мобільна МАС D цифрова</t>
  </si>
  <si>
    <t>газоаналізатор крові з можливістю визначення електролітів, глюкози та лактату, у вигляді системи аналізу крові ЕРОС</t>
  </si>
  <si>
    <t>система рентгенівська радіографічна 7200А</t>
  </si>
  <si>
    <t>перфоратор шкіри ПК-107 (дерматом ручний)</t>
  </si>
  <si>
    <t>система отримання чистої води Cristal EX Pure для неорганічних лабораторних методів</t>
  </si>
  <si>
    <t>джерело безпереб.живлен.COVER MZ 100K; шафа акумуляторна 100 Аг-480В;байпасний щит для ДБЖ</t>
  </si>
  <si>
    <t>сист.отрим.чистої води Cristal EX Double Flow для лаборат.неорган.методів аналізу</t>
  </si>
  <si>
    <t>резервуар"Comfort" 60л для зберігання води з детект.рівня та гравітаційним краном відбору</t>
  </si>
  <si>
    <t>сервер HPE ProLiant VicroServer Gen 10 Plus</t>
  </si>
  <si>
    <t>апарати ШВЛ Savina 300</t>
  </si>
  <si>
    <t>монітор пацієнта Vista 120</t>
  </si>
  <si>
    <t>фасадна вивіска</t>
  </si>
  <si>
    <t>апарат ШВЛ CWH-3010 ICU</t>
  </si>
  <si>
    <t>апарат ШВЛ Ventilator S 1500</t>
  </si>
  <si>
    <t>інвазивна штучна вентиляція легень SV 300</t>
  </si>
  <si>
    <t>виг.та вст. тильної сторони вивіски</t>
  </si>
  <si>
    <t>автомобіль Mercedes Benz</t>
  </si>
  <si>
    <t>модульний монітор пацієнта Q 5 (4 шт.)</t>
  </si>
  <si>
    <t>кардіоапарат</t>
  </si>
  <si>
    <t>трансформатор 1 фазний Transformator Noratel 2 LT 16/0-400/230-54</t>
  </si>
  <si>
    <t>хірург.лазерLaserscope GreenLight PV Surgical Laser</t>
  </si>
  <si>
    <t>ел.дерматом дисковий ДЕ-717 (2шт.)</t>
  </si>
  <si>
    <t>апарат УЗД</t>
  </si>
  <si>
    <t>система рентген.діагност. С-подібна Garion</t>
  </si>
  <si>
    <t>монітор пацієнта Efficia CM - 12</t>
  </si>
  <si>
    <t>апарат ШВЛ Neoumovent GraphNet TS</t>
  </si>
  <si>
    <t>апарат рентгенографічний пересувний Арман</t>
  </si>
  <si>
    <t>монітор мед.рідкокрис.MDNC-2221</t>
  </si>
  <si>
    <t>План                      І півріччя 2023 року</t>
  </si>
  <si>
    <t>Факт                             І півріччя 2023 року</t>
  </si>
  <si>
    <t>вилучення дорогоцінних металів</t>
  </si>
  <si>
    <t>господарські товари, енергозберігаючі лампочки, картриджі, миючі засоби</t>
  </si>
  <si>
    <r>
      <t xml:space="preserve">паливно-мастильні матеріали  </t>
    </r>
    <r>
      <rPr>
        <sz val="14"/>
        <color rgb="FFFF0000"/>
        <rFont val="Times New Roman"/>
        <family val="1"/>
        <charset val="204"/>
      </rPr>
      <t xml:space="preserve"> </t>
    </r>
  </si>
  <si>
    <t>Амортизація інших необоротних активів</t>
  </si>
  <si>
    <t>нейрохірургічний мікроскоп</t>
  </si>
  <si>
    <t>капітальний ремонт, усього, у тому числі:</t>
  </si>
  <si>
    <t>лабораторні дослідження</t>
  </si>
  <si>
    <t>оцінка енергоефективності будівель, ТО системи киснезабезпечення, проект біологічного захисту операційної, розробка конструкцій для портативних аспіраторів, експертиза проект.-кошторис.докум.по об'єкту "кап.рем.мереж водопостачання"</t>
  </si>
  <si>
    <t>9.2.1</t>
  </si>
  <si>
    <t>9.3</t>
  </si>
  <si>
    <t>9.3.1</t>
  </si>
  <si>
    <t>оплата послуг (крім комунальних): ремонт обладнання, поточні рем.та ін.; страхування автоцивілки, послуги банку, інформаційні послуги, доставка буд.матеріалів, оренда гастроскопа</t>
  </si>
  <si>
    <t>доплата митних платежів</t>
  </si>
  <si>
    <t>інформаційно-консультативні послуги, навчання</t>
  </si>
  <si>
    <t>обслуговування системи очищення води</t>
  </si>
  <si>
    <t>м'який інвентар, білизна, матраци</t>
  </si>
  <si>
    <t>матеріальні витрати</t>
  </si>
  <si>
    <t>запасні частини для автомобіля</t>
  </si>
  <si>
    <t>навчання</t>
  </si>
  <si>
    <t>відшкодування в бюджет (за скоєння злочину)</t>
  </si>
  <si>
    <t>комплект обладнання для артроскопічних операцій</t>
  </si>
  <si>
    <t>капітальний ремонт приміщення під ангіограф</t>
  </si>
  <si>
    <t>виготовлення та експертиза ПКД на реконструкцію електропостачання під дизельн.генератор</t>
  </si>
  <si>
    <t>виготовлення ПКД по кап.ремонту водопостачання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</si>
</sst>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#,##0.000"/>
    <numFmt numFmtId="182" formatCode="_(* #,##0.0_);_(* \(#,##0.0\);_(* &quot;-&quot;??_);_(@_)"/>
    <numFmt numFmtId="183" formatCode="_-* #,##0.0\ _₴_-;\-* #,##0.0\ _₴_-;_-* &quot;-&quot;?\ _₴_-;_-@_-"/>
  </numFmts>
  <fonts count="10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6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2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3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7" fontId="59" fillId="22" borderId="12" applyFill="0" applyBorder="0">
      <alignment horizontal="center" vertical="center" wrapText="1"/>
      <protection locked="0"/>
    </xf>
    <xf numFmtId="172" fontId="60" fillId="0" borderId="0">
      <alignment wrapText="1"/>
    </xf>
    <xf numFmtId="172" fontId="27" fillId="0" borderId="0">
      <alignment wrapText="1"/>
    </xf>
    <xf numFmtId="0" fontId="2" fillId="0" borderId="0"/>
  </cellStyleXfs>
  <cellXfs count="380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71" fillId="0" borderId="3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wrapText="1"/>
    </xf>
    <xf numFmtId="179" fontId="71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9" fontId="72" fillId="0" borderId="3" xfId="0" applyNumberFormat="1" applyFont="1" applyFill="1" applyBorder="1" applyAlignment="1">
      <alignment horizontal="right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71" fillId="0" borderId="3" xfId="0" applyFont="1" applyFill="1" applyBorder="1" applyAlignment="1">
      <alignment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15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179" fontId="64" fillId="0" borderId="3" xfId="0" applyNumberFormat="1" applyFont="1" applyFill="1" applyBorder="1" applyAlignment="1">
      <alignment horizontal="center" vertical="center"/>
    </xf>
    <xf numFmtId="179" fontId="62" fillId="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0" fontId="83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29" borderId="0" xfId="0" applyFont="1" applyFill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vertical="center"/>
    </xf>
    <xf numFmtId="179" fontId="69" fillId="0" borderId="3" xfId="0" applyNumberFormat="1" applyFont="1" applyFill="1" applyBorder="1" applyAlignment="1">
      <alignment vertical="center"/>
    </xf>
    <xf numFmtId="179" fontId="69" fillId="0" borderId="3" xfId="0" applyNumberFormat="1" applyFont="1" applyFill="1" applyBorder="1" applyAlignment="1">
      <alignment horizontal="left" vertical="center" wrapText="1"/>
    </xf>
    <xf numFmtId="179" fontId="77" fillId="0" borderId="3" xfId="0" applyNumberFormat="1" applyFont="1" applyFill="1" applyBorder="1" applyAlignment="1">
      <alignment vertical="center"/>
    </xf>
    <xf numFmtId="0" fontId="69" fillId="0" borderId="0" xfId="0" applyFont="1" applyFill="1" applyAlignment="1"/>
    <xf numFmtId="0" fontId="69" fillId="29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0" fontId="85" fillId="0" borderId="0" xfId="0" applyFont="1" applyFill="1" applyAlignment="1">
      <alignment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vertical="center" wrapText="1"/>
    </xf>
    <xf numFmtId="0" fontId="86" fillId="0" borderId="0" xfId="0" applyFont="1" applyFill="1" applyBorder="1" applyAlignment="1">
      <alignment horizontal="center"/>
    </xf>
    <xf numFmtId="178" fontId="72" fillId="0" borderId="3" xfId="0" applyNumberFormat="1" applyFont="1" applyFill="1" applyBorder="1" applyAlignment="1">
      <alignment horizontal="right" vertical="center" wrapText="1"/>
    </xf>
    <xf numFmtId="0" fontId="87" fillId="0" borderId="0" xfId="0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vertical="center"/>
    </xf>
    <xf numFmtId="170" fontId="87" fillId="0" borderId="0" xfId="0" applyNumberFormat="1" applyFont="1" applyFill="1" applyBorder="1" applyAlignment="1">
      <alignment vertical="center"/>
    </xf>
    <xf numFmtId="183" fontId="62" fillId="0" borderId="0" xfId="0" applyNumberFormat="1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83" fillId="0" borderId="3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0" fontId="76" fillId="0" borderId="0" xfId="0" applyFont="1" applyFill="1" applyAlignment="1">
      <alignment horizontal="left" vertical="center"/>
    </xf>
    <xf numFmtId="0" fontId="91" fillId="0" borderId="0" xfId="0" applyFont="1" applyFill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 shrinkToFit="1"/>
    </xf>
    <xf numFmtId="0" fontId="70" fillId="0" borderId="3" xfId="182" applyFont="1" applyFill="1" applyBorder="1" applyAlignment="1">
      <alignment vertical="center" wrapText="1"/>
      <protection locked="0"/>
    </xf>
    <xf numFmtId="0" fontId="70" fillId="0" borderId="3" xfId="0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0" fontId="72" fillId="0" borderId="3" xfId="182" applyFont="1" applyFill="1" applyBorder="1" applyAlignment="1">
      <alignment vertical="center" wrapText="1"/>
      <protection locked="0"/>
    </xf>
    <xf numFmtId="179" fontId="70" fillId="0" borderId="3" xfId="0" applyNumberFormat="1" applyFont="1" applyFill="1" applyBorder="1" applyAlignment="1">
      <alignment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0" fillId="0" borderId="3" xfId="0" applyFont="1" applyFill="1" applyBorder="1" applyAlignment="1" applyProtection="1">
      <alignment horizontal="left" vertical="center" wrapText="1"/>
      <protection locked="0"/>
    </xf>
    <xf numFmtId="49" fontId="70" fillId="0" borderId="3" xfId="0" applyNumberFormat="1" applyFont="1" applyFill="1" applyBorder="1" applyAlignment="1">
      <alignment horizontal="center" vertical="center"/>
    </xf>
    <xf numFmtId="178" fontId="70" fillId="0" borderId="3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wrapText="1"/>
    </xf>
    <xf numFmtId="0" fontId="72" fillId="0" borderId="0" xfId="0" quotePrefix="1" applyFont="1" applyFill="1" applyBorder="1" applyAlignment="1">
      <alignment horizontal="center" vertical="center"/>
    </xf>
    <xf numFmtId="171" fontId="92" fillId="0" borderId="0" xfId="0" applyNumberFormat="1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2" fillId="0" borderId="0" xfId="0" applyFont="1" applyFill="1" applyAlignment="1">
      <alignment horizontal="left" vertical="center"/>
    </xf>
    <xf numFmtId="179" fontId="81" fillId="0" borderId="0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center" vertical="center" wrapText="1"/>
    </xf>
    <xf numFmtId="179" fontId="94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/>
    </xf>
    <xf numFmtId="179" fontId="99" fillId="0" borderId="3" xfId="0" applyNumberFormat="1" applyFont="1" applyFill="1" applyBorder="1" applyAlignment="1">
      <alignment horizontal="center" vertical="center"/>
    </xf>
    <xf numFmtId="179" fontId="100" fillId="0" borderId="3" xfId="0" applyNumberFormat="1" applyFont="1" applyFill="1" applyBorder="1" applyAlignment="1">
      <alignment vertical="center"/>
    </xf>
    <xf numFmtId="0" fontId="84" fillId="0" borderId="0" xfId="0" applyFont="1" applyFill="1" applyBorder="1" applyAlignment="1"/>
    <xf numFmtId="4" fontId="71" fillId="0" borderId="3" xfId="0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1" fontId="71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3" fillId="0" borderId="3" xfId="182" applyFont="1" applyFill="1" applyBorder="1" applyAlignment="1">
      <alignment vertical="center" wrapText="1"/>
      <protection locked="0"/>
    </xf>
    <xf numFmtId="0" fontId="64" fillId="0" borderId="3" xfId="0" applyFont="1" applyFill="1" applyBorder="1" applyAlignment="1">
      <alignment horizontal="center" vertical="center" wrapText="1" shrinkToFit="1"/>
    </xf>
    <xf numFmtId="0" fontId="72" fillId="0" borderId="0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 wrapText="1"/>
    </xf>
    <xf numFmtId="1" fontId="73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vertical="center"/>
    </xf>
    <xf numFmtId="183" fontId="73" fillId="0" borderId="0" xfId="0" applyNumberFormat="1" applyFont="1" applyFill="1" applyBorder="1" applyAlignment="1">
      <alignment vertical="center"/>
    </xf>
    <xf numFmtId="179" fontId="73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right" vertical="center" wrapText="1"/>
    </xf>
    <xf numFmtId="4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49" fontId="81" fillId="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 wrapText="1"/>
    </xf>
    <xf numFmtId="1" fontId="73" fillId="0" borderId="0" xfId="0" applyNumberFormat="1" applyFont="1" applyFill="1" applyBorder="1" applyAlignment="1">
      <alignment horizontal="right" vertical="center"/>
    </xf>
    <xf numFmtId="179" fontId="71" fillId="0" borderId="0" xfId="0" applyNumberFormat="1" applyFont="1" applyFill="1" applyBorder="1" applyAlignment="1">
      <alignment vertical="center"/>
    </xf>
    <xf numFmtId="171" fontId="71" fillId="0" borderId="0" xfId="0" applyNumberFormat="1" applyFont="1" applyFill="1" applyBorder="1" applyAlignment="1">
      <alignment horizontal="left" vertical="center"/>
    </xf>
    <xf numFmtId="171" fontId="73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horizontal="left" vertical="top"/>
    </xf>
    <xf numFmtId="183" fontId="71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Border="1" applyAlignment="1">
      <alignment vertical="center"/>
    </xf>
    <xf numFmtId="0" fontId="71" fillId="0" borderId="0" xfId="0" applyNumberFormat="1" applyFont="1" applyFill="1" applyBorder="1" applyAlignment="1">
      <alignment vertical="center"/>
    </xf>
    <xf numFmtId="0" fontId="71" fillId="0" borderId="3" xfId="353" applyFont="1" applyFill="1" applyBorder="1" applyAlignment="1">
      <alignment horizontal="left" vertical="center" wrapText="1"/>
    </xf>
    <xf numFmtId="181" fontId="71" fillId="0" borderId="3" xfId="353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vertical="center" wrapText="1"/>
    </xf>
    <xf numFmtId="0" fontId="81" fillId="0" borderId="3" xfId="0" applyFont="1" applyFill="1" applyBorder="1" applyAlignment="1">
      <alignment vertical="center" wrapText="1"/>
    </xf>
    <xf numFmtId="0" fontId="78" fillId="0" borderId="3" xfId="182" applyFont="1" applyFill="1" applyBorder="1" applyAlignment="1">
      <alignment vertical="center" wrapText="1"/>
      <protection locked="0"/>
    </xf>
    <xf numFmtId="0" fontId="81" fillId="0" borderId="17" xfId="0" applyFont="1" applyFill="1" applyBorder="1" applyAlignment="1">
      <alignment horizontal="center" vertical="center" wrapText="1"/>
    </xf>
    <xf numFmtId="0" fontId="81" fillId="0" borderId="16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left" wrapText="1"/>
    </xf>
    <xf numFmtId="0" fontId="64" fillId="0" borderId="3" xfId="0" applyFont="1" applyFill="1" applyBorder="1" applyAlignment="1">
      <alignment horizontal="left" vertical="center" wrapText="1"/>
    </xf>
    <xf numFmtId="1" fontId="81" fillId="0" borderId="0" xfId="0" applyNumberFormat="1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left" vertical="center" wrapText="1"/>
    </xf>
    <xf numFmtId="171" fontId="71" fillId="0" borderId="0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center" vertical="center" wrapText="1"/>
    </xf>
    <xf numFmtId="49" fontId="64" fillId="0" borderId="3" xfId="0" applyNumberFormat="1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center" vertical="center" wrapText="1"/>
    </xf>
    <xf numFmtId="49" fontId="102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top" wrapText="1"/>
    </xf>
    <xf numFmtId="170" fontId="71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horizontal="center" vertical="center" wrapText="1"/>
    </xf>
    <xf numFmtId="170" fontId="71" fillId="0" borderId="0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171" fontId="71" fillId="29" borderId="0" xfId="0" applyNumberFormat="1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vertical="center"/>
    </xf>
    <xf numFmtId="0" fontId="71" fillId="29" borderId="17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/>
    </xf>
    <xf numFmtId="171" fontId="64" fillId="29" borderId="0" xfId="0" applyNumberFormat="1" applyFont="1" applyFill="1" applyBorder="1" applyAlignment="1">
      <alignment vertical="center"/>
    </xf>
    <xf numFmtId="0" fontId="73" fillId="29" borderId="3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left" vertical="center" wrapText="1"/>
    </xf>
    <xf numFmtId="179" fontId="64" fillId="29" borderId="3" xfId="0" applyNumberFormat="1" applyFont="1" applyFill="1" applyBorder="1" applyAlignment="1">
      <alignment horizontal="center" vertical="center"/>
    </xf>
    <xf numFmtId="0" fontId="71" fillId="29" borderId="15" xfId="0" applyFont="1" applyFill="1" applyBorder="1" applyAlignment="1">
      <alignment horizontal="center" vertical="center"/>
    </xf>
    <xf numFmtId="179" fontId="97" fillId="29" borderId="3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vertical="center" wrapText="1"/>
    </xf>
    <xf numFmtId="0" fontId="64" fillId="29" borderId="16" xfId="0" applyFont="1" applyFill="1" applyBorder="1" applyAlignment="1">
      <alignment horizontal="left" vertical="center" wrapText="1"/>
    </xf>
    <xf numFmtId="179" fontId="99" fillId="29" borderId="3" xfId="0" applyNumberFormat="1" applyFont="1" applyFill="1" applyBorder="1" applyAlignment="1">
      <alignment horizontal="center" vertical="center"/>
    </xf>
    <xf numFmtId="0" fontId="88" fillId="29" borderId="0" xfId="0" applyFont="1" applyFill="1" applyBorder="1" applyAlignment="1">
      <alignment vertical="center"/>
    </xf>
    <xf numFmtId="0" fontId="71" fillId="29" borderId="3" xfId="0" applyFont="1" applyFill="1" applyBorder="1" applyAlignment="1">
      <alignment horizontal="left" wrapText="1"/>
    </xf>
    <xf numFmtId="0" fontId="73" fillId="29" borderId="3" xfId="0" applyFont="1" applyFill="1" applyBorder="1" applyAlignment="1">
      <alignment horizontal="right" vertical="center" wrapText="1"/>
    </xf>
    <xf numFmtId="0" fontId="71" fillId="29" borderId="15" xfId="0" applyFont="1" applyFill="1" applyBorder="1" applyAlignment="1">
      <alignment vertical="center"/>
    </xf>
    <xf numFmtId="0" fontId="71" fillId="29" borderId="3" xfId="0" applyFont="1" applyFill="1" applyBorder="1" applyAlignment="1">
      <alignment horizontal="right" vertical="center"/>
    </xf>
    <xf numFmtId="0" fontId="73" fillId="29" borderId="3" xfId="0" applyFont="1" applyFill="1" applyBorder="1" applyAlignment="1">
      <alignment horizontal="center" vertical="center"/>
    </xf>
    <xf numFmtId="0" fontId="71" fillId="29" borderId="15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vertical="center"/>
    </xf>
    <xf numFmtId="0" fontId="71" fillId="29" borderId="3" xfId="0" applyFont="1" applyFill="1" applyBorder="1" applyAlignment="1">
      <alignment horizontal="center"/>
    </xf>
    <xf numFmtId="0" fontId="64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vertical="center"/>
    </xf>
    <xf numFmtId="0" fontId="71" fillId="29" borderId="15" xfId="0" applyFont="1" applyFill="1" applyBorder="1" applyAlignment="1">
      <alignment vertical="center" wrapText="1"/>
    </xf>
    <xf numFmtId="0" fontId="71" fillId="29" borderId="18" xfId="0" applyFont="1" applyFill="1" applyBorder="1" applyAlignment="1">
      <alignment horizontal="center"/>
    </xf>
    <xf numFmtId="0" fontId="64" fillId="29" borderId="0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80" fillId="0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179" fontId="85" fillId="0" borderId="3" xfId="0" applyNumberFormat="1" applyFont="1" applyFill="1" applyBorder="1" applyAlignment="1">
      <alignment horizontal="left" vertical="center" wrapText="1"/>
    </xf>
    <xf numFmtId="179" fontId="63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horizontal="center" vertical="center"/>
    </xf>
    <xf numFmtId="0" fontId="78" fillId="0" borderId="3" xfId="0" quotePrefix="1" applyFont="1" applyFill="1" applyBorder="1" applyAlignment="1">
      <alignment horizontal="center" vertical="center"/>
    </xf>
    <xf numFmtId="179" fontId="103" fillId="0" borderId="3" xfId="0" applyNumberFormat="1" applyFont="1" applyFill="1" applyBorder="1" applyAlignment="1">
      <alignment horizontal="center" vertical="center"/>
    </xf>
    <xf numFmtId="170" fontId="78" fillId="0" borderId="3" xfId="0" applyNumberFormat="1" applyFont="1" applyFill="1" applyBorder="1" applyAlignment="1">
      <alignment vertical="center" wrapText="1"/>
    </xf>
    <xf numFmtId="179" fontId="80" fillId="0" borderId="3" xfId="0" applyNumberFormat="1" applyFont="1" applyFill="1" applyBorder="1" applyAlignment="1">
      <alignment vertical="center" wrapText="1"/>
    </xf>
    <xf numFmtId="0" fontId="73" fillId="0" borderId="3" xfId="0" applyFont="1" applyFill="1" applyBorder="1" applyAlignment="1">
      <alignment vertical="center" wrapText="1"/>
    </xf>
    <xf numFmtId="0" fontId="73" fillId="0" borderId="3" xfId="0" applyFont="1" applyFill="1" applyBorder="1" applyAlignment="1">
      <alignment horizontal="right" vertical="center" wrapText="1"/>
    </xf>
    <xf numFmtId="49" fontId="6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wrapText="1"/>
    </xf>
    <xf numFmtId="0" fontId="71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left" wrapText="1"/>
    </xf>
    <xf numFmtId="0" fontId="71" fillId="0" borderId="15" xfId="0" applyFont="1" applyBorder="1" applyAlignment="1">
      <alignment horizontal="left" vertical="center" wrapText="1"/>
    </xf>
    <xf numFmtId="4" fontId="64" fillId="0" borderId="3" xfId="0" applyNumberFormat="1" applyFont="1" applyBorder="1" applyAlignment="1">
      <alignment wrapText="1"/>
    </xf>
    <xf numFmtId="0" fontId="71" fillId="0" borderId="3" xfId="0" applyFont="1" applyBorder="1" applyAlignment="1">
      <alignment horizontal="left" vertical="center" wrapText="1"/>
    </xf>
    <xf numFmtId="0" fontId="71" fillId="0" borderId="3" xfId="0" applyFont="1" applyBorder="1" applyAlignment="1">
      <alignment vertical="center" wrapText="1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/>
    </xf>
    <xf numFmtId="0" fontId="82" fillId="0" borderId="15" xfId="0" applyFont="1" applyBorder="1" applyAlignment="1">
      <alignment horizontal="left" vertical="center" wrapText="1"/>
    </xf>
    <xf numFmtId="0" fontId="71" fillId="0" borderId="3" xfId="0" applyFont="1" applyBorder="1" applyAlignment="1">
      <alignment horizontal="center"/>
    </xf>
    <xf numFmtId="0" fontId="80" fillId="0" borderId="3" xfId="0" applyFont="1" applyBorder="1" applyAlignment="1">
      <alignment horizontal="left" vertical="center" wrapText="1"/>
    </xf>
    <xf numFmtId="0" fontId="78" fillId="0" borderId="3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center" vertical="center" wrapText="1"/>
    </xf>
    <xf numFmtId="0" fontId="81" fillId="0" borderId="3" xfId="0" applyFont="1" applyBorder="1" applyAlignment="1">
      <alignment vertical="center" wrapText="1"/>
    </xf>
    <xf numFmtId="0" fontId="73" fillId="0" borderId="3" xfId="0" applyFont="1" applyBorder="1" applyAlignment="1">
      <alignment horizontal="center" vertical="center" wrapText="1"/>
    </xf>
    <xf numFmtId="0" fontId="81" fillId="0" borderId="3" xfId="182" applyFont="1" applyFill="1" applyBorder="1" applyAlignment="1">
      <alignment vertical="center" wrapText="1"/>
      <protection locked="0"/>
    </xf>
    <xf numFmtId="49" fontId="102" fillId="0" borderId="3" xfId="0" applyNumberFormat="1" applyFont="1" applyBorder="1" applyAlignment="1">
      <alignment horizontal="center" vertical="center" wrapText="1"/>
    </xf>
    <xf numFmtId="49" fontId="63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 wrapText="1"/>
    </xf>
    <xf numFmtId="0" fontId="73" fillId="30" borderId="3" xfId="0" applyFont="1" applyFill="1" applyBorder="1" applyAlignment="1">
      <alignment horizontal="left" vertical="center" wrapText="1"/>
    </xf>
    <xf numFmtId="0" fontId="73" fillId="30" borderId="3" xfId="0" applyFont="1" applyFill="1" applyBorder="1" applyAlignment="1">
      <alignment horizontal="center" vertical="center" wrapText="1"/>
    </xf>
    <xf numFmtId="0" fontId="73" fillId="0" borderId="3" xfId="0" applyFont="1" applyBorder="1" applyAlignment="1">
      <alignment horizontal="left" vertical="center" wrapText="1"/>
    </xf>
    <xf numFmtId="4" fontId="83" fillId="29" borderId="3" xfId="0" applyNumberFormat="1" applyFont="1" applyFill="1" applyBorder="1" applyAlignment="1">
      <alignment wrapText="1"/>
    </xf>
    <xf numFmtId="0" fontId="64" fillId="0" borderId="15" xfId="0" applyFont="1" applyBorder="1" applyAlignment="1">
      <alignment horizontal="left" vertical="center" wrapText="1"/>
    </xf>
    <xf numFmtId="0" fontId="62" fillId="0" borderId="3" xfId="0" applyFont="1" applyBorder="1" applyAlignment="1">
      <alignment vertical="center" wrapText="1"/>
    </xf>
    <xf numFmtId="0" fontId="105" fillId="0" borderId="3" xfId="0" applyFont="1" applyBorder="1" applyAlignment="1">
      <alignment horizontal="left" vertical="center" wrapText="1"/>
    </xf>
    <xf numFmtId="3" fontId="71" fillId="0" borderId="0" xfId="0" applyNumberFormat="1" applyFont="1" applyFill="1" applyBorder="1" applyAlignment="1">
      <alignment horizontal="center" vertical="center"/>
    </xf>
    <xf numFmtId="49" fontId="63" fillId="31" borderId="3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/>
    </xf>
    <xf numFmtId="170" fontId="71" fillId="0" borderId="0" xfId="0" applyNumberFormat="1" applyFont="1" applyFill="1" applyBorder="1" applyAlignment="1">
      <alignment horizontal="left" vertical="center"/>
    </xf>
    <xf numFmtId="0" fontId="72" fillId="0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73" fillId="29" borderId="15" xfId="0" applyFont="1" applyFill="1" applyBorder="1" applyAlignment="1">
      <alignment vertical="center" wrapText="1"/>
    </xf>
    <xf numFmtId="0" fontId="81" fillId="29" borderId="15" xfId="0" applyFont="1" applyFill="1" applyBorder="1" applyAlignment="1">
      <alignment horizontal="center" vertical="center" wrapText="1"/>
    </xf>
    <xf numFmtId="0" fontId="73" fillId="29" borderId="18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170" fontId="63" fillId="0" borderId="0" xfId="0" applyNumberFormat="1" applyFont="1" applyFill="1" applyBorder="1" applyAlignment="1">
      <alignment horizontal="center" vertical="center" wrapText="1"/>
    </xf>
    <xf numFmtId="1" fontId="69" fillId="0" borderId="3" xfId="0" applyNumberFormat="1" applyFont="1" applyFill="1" applyBorder="1" applyAlignment="1">
      <alignment horizontal="center" vertical="center" wrapText="1"/>
    </xf>
    <xf numFmtId="171" fontId="64" fillId="0" borderId="3" xfId="0" applyNumberFormat="1" applyFont="1" applyFill="1" applyBorder="1" applyAlignment="1">
      <alignment horizontal="center" vertical="center" wrapText="1"/>
    </xf>
    <xf numFmtId="171" fontId="71" fillId="0" borderId="3" xfId="0" applyNumberFormat="1" applyFont="1" applyFill="1" applyBorder="1" applyAlignment="1">
      <alignment horizontal="center" vertical="center" wrapText="1"/>
    </xf>
    <xf numFmtId="171" fontId="64" fillId="0" borderId="3" xfId="0" applyNumberFormat="1" applyFont="1" applyFill="1" applyBorder="1" applyAlignment="1">
      <alignment horizontal="center"/>
    </xf>
    <xf numFmtId="179" fontId="64" fillId="0" borderId="3" xfId="0" applyNumberFormat="1" applyFont="1" applyFill="1" applyBorder="1" applyAlignment="1">
      <alignment horizontal="left" vertical="center" wrapText="1"/>
    </xf>
    <xf numFmtId="170" fontId="64" fillId="0" borderId="13" xfId="0" applyNumberFormat="1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horizontal="center" vertical="center"/>
    </xf>
    <xf numFmtId="170" fontId="64" fillId="0" borderId="0" xfId="0" applyNumberFormat="1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right" vertical="center" wrapText="1"/>
    </xf>
    <xf numFmtId="179" fontId="71" fillId="0" borderId="3" xfId="0" applyNumberFormat="1" applyFont="1" applyFill="1" applyBorder="1" applyAlignment="1">
      <alignment horizontal="right" vertical="center" wrapText="1"/>
    </xf>
    <xf numFmtId="179" fontId="78" fillId="0" borderId="3" xfId="0" applyNumberFormat="1" applyFont="1" applyFill="1" applyBorder="1" applyAlignment="1">
      <alignment horizontal="right" vertical="center" wrapText="1"/>
    </xf>
    <xf numFmtId="179" fontId="81" fillId="0" borderId="3" xfId="0" applyNumberFormat="1" applyFont="1" applyFill="1" applyBorder="1" applyAlignment="1">
      <alignment horizontal="right" vertical="center" wrapText="1"/>
    </xf>
    <xf numFmtId="171" fontId="71" fillId="0" borderId="3" xfId="0" applyNumberFormat="1" applyFont="1" applyFill="1" applyBorder="1" applyAlignment="1">
      <alignment horizontal="right" vertical="center" wrapText="1" shrinkToFit="1"/>
    </xf>
    <xf numFmtId="171" fontId="71" fillId="0" borderId="3" xfId="0" applyNumberFormat="1" applyFont="1" applyFill="1" applyBorder="1" applyAlignment="1">
      <alignment horizontal="right" vertical="center" wrapText="1"/>
    </xf>
    <xf numFmtId="171" fontId="64" fillId="0" borderId="3" xfId="0" applyNumberFormat="1" applyFont="1" applyFill="1" applyBorder="1" applyAlignment="1">
      <alignment horizontal="right" wrapText="1"/>
    </xf>
    <xf numFmtId="171" fontId="81" fillId="0" borderId="3" xfId="0" applyNumberFormat="1" applyFont="1" applyFill="1" applyBorder="1" applyAlignment="1">
      <alignment horizontal="right" vertical="center" wrapText="1"/>
    </xf>
    <xf numFmtId="171" fontId="81" fillId="0" borderId="0" xfId="0" applyNumberFormat="1" applyFont="1" applyFill="1" applyAlignment="1">
      <alignment horizontal="center" vertical="center"/>
    </xf>
    <xf numFmtId="179" fontId="81" fillId="0" borderId="3" xfId="0" applyNumberFormat="1" applyFont="1" applyFill="1" applyBorder="1" applyAlignment="1">
      <alignment horizontal="right" vertical="center" wrapText="1" shrinkToFit="1"/>
    </xf>
    <xf numFmtId="179" fontId="71" fillId="0" borderId="3" xfId="0" applyNumberFormat="1" applyFont="1" applyFill="1" applyBorder="1" applyAlignment="1">
      <alignment horizontal="right" vertical="center" wrapText="1" shrinkToFit="1"/>
    </xf>
    <xf numFmtId="171" fontId="71" fillId="0" borderId="3" xfId="0" applyNumberFormat="1" applyFont="1" applyFill="1" applyBorder="1" applyAlignment="1">
      <alignment horizontal="center" vertical="center"/>
    </xf>
    <xf numFmtId="171" fontId="102" fillId="0" borderId="3" xfId="0" applyNumberFormat="1" applyFont="1" applyFill="1" applyBorder="1" applyAlignment="1">
      <alignment horizontal="right" wrapText="1"/>
    </xf>
    <xf numFmtId="171" fontId="102" fillId="0" borderId="3" xfId="0" applyNumberFormat="1" applyFont="1" applyFill="1" applyBorder="1" applyAlignment="1">
      <alignment horizontal="right" vertical="center" wrapText="1"/>
    </xf>
    <xf numFmtId="179" fontId="64" fillId="0" borderId="3" xfId="0" applyNumberFormat="1" applyFont="1" applyFill="1" applyBorder="1" applyAlignment="1">
      <alignment horizontal="right" vertical="center" wrapText="1"/>
    </xf>
    <xf numFmtId="171" fontId="73" fillId="0" borderId="3" xfId="0" applyNumberFormat="1" applyFont="1" applyFill="1" applyBorder="1" applyAlignment="1">
      <alignment horizontal="right" vertical="center" wrapText="1"/>
    </xf>
    <xf numFmtId="171" fontId="78" fillId="0" borderId="3" xfId="0" applyNumberFormat="1" applyFont="1" applyFill="1" applyBorder="1" applyAlignment="1">
      <alignment horizontal="right" vertical="center" wrapText="1"/>
    </xf>
    <xf numFmtId="179" fontId="78" fillId="0" borderId="3" xfId="0" applyNumberFormat="1" applyFont="1" applyFill="1" applyBorder="1" applyAlignment="1">
      <alignment vertical="center" wrapText="1"/>
    </xf>
    <xf numFmtId="179" fontId="81" fillId="0" borderId="3" xfId="0" applyNumberFormat="1" applyFont="1" applyFill="1" applyBorder="1" applyAlignment="1">
      <alignment vertical="center" wrapText="1"/>
    </xf>
    <xf numFmtId="179" fontId="81" fillId="0" borderId="15" xfId="0" applyNumberFormat="1" applyFont="1" applyFill="1" applyBorder="1" applyAlignment="1">
      <alignment horizontal="right" vertical="center" wrapText="1"/>
    </xf>
    <xf numFmtId="179" fontId="102" fillId="0" borderId="3" xfId="0" applyNumberFormat="1" applyFont="1" applyFill="1" applyBorder="1" applyAlignment="1">
      <alignment horizontal="right" vertical="center" wrapText="1"/>
    </xf>
    <xf numFmtId="171" fontId="71" fillId="0" borderId="0" xfId="0" applyNumberFormat="1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left"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82" fontId="71" fillId="0" borderId="3" xfId="0" applyNumberFormat="1" applyFont="1" applyFill="1" applyBorder="1" applyAlignment="1">
      <alignment horizontal="right" vertical="center" wrapText="1"/>
    </xf>
    <xf numFmtId="182" fontId="71" fillId="0" borderId="3" xfId="0" applyNumberFormat="1" applyFont="1" applyFill="1" applyBorder="1" applyAlignment="1">
      <alignment horizontal="right" vertical="center"/>
    </xf>
    <xf numFmtId="182" fontId="71" fillId="0" borderId="3" xfId="0" applyNumberFormat="1" applyFont="1" applyFill="1" applyBorder="1" applyAlignment="1">
      <alignment horizontal="right" vertical="center" wrapText="1" shrinkToFit="1"/>
    </xf>
    <xf numFmtId="171" fontId="73" fillId="0" borderId="3" xfId="0" applyNumberFormat="1" applyFont="1" applyFill="1" applyBorder="1" applyAlignment="1">
      <alignment horizontal="right" vertical="center" wrapText="1" shrinkToFit="1"/>
    </xf>
    <xf numFmtId="0" fontId="76" fillId="0" borderId="0" xfId="0" applyFont="1" applyFill="1" applyAlignment="1">
      <alignment horizontal="center" vertical="center"/>
    </xf>
    <xf numFmtId="179" fontId="70" fillId="0" borderId="3" xfId="0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82" fontId="70" fillId="0" borderId="3" xfId="0" applyNumberFormat="1" applyFont="1" applyFill="1" applyBorder="1" applyAlignment="1">
      <alignment horizontal="right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171" fontId="72" fillId="0" borderId="0" xfId="0" applyNumberFormat="1" applyFont="1" applyFill="1" applyBorder="1" applyAlignment="1">
      <alignment wrapText="1"/>
    </xf>
    <xf numFmtId="179" fontId="62" fillId="0" borderId="3" xfId="0" applyNumberFormat="1" applyFont="1" applyFill="1" applyBorder="1" applyAlignment="1">
      <alignment horizontal="left" vertical="center" wrapText="1"/>
    </xf>
    <xf numFmtId="0" fontId="63" fillId="32" borderId="0" xfId="0" applyFont="1" applyFill="1" applyBorder="1" applyAlignment="1">
      <alignment horizontal="center" vertical="center" wrapText="1"/>
    </xf>
    <xf numFmtId="0" fontId="64" fillId="32" borderId="3" xfId="0" applyFont="1" applyFill="1" applyBorder="1" applyAlignment="1">
      <alignment horizontal="center" vertical="center" wrapText="1"/>
    </xf>
    <xf numFmtId="0" fontId="71" fillId="32" borderId="3" xfId="0" applyFont="1" applyFill="1" applyBorder="1" applyAlignment="1">
      <alignment horizontal="center" vertical="center" wrapText="1"/>
    </xf>
    <xf numFmtId="180" fontId="73" fillId="32" borderId="3" xfId="0" applyNumberFormat="1" applyFont="1" applyFill="1" applyBorder="1" applyAlignment="1">
      <alignment horizontal="right" vertical="center" wrapText="1"/>
    </xf>
    <xf numFmtId="171" fontId="73" fillId="32" borderId="3" xfId="0" applyNumberFormat="1" applyFont="1" applyFill="1" applyBorder="1" applyAlignment="1">
      <alignment horizontal="right" vertical="center" wrapText="1"/>
    </xf>
    <xf numFmtId="171" fontId="71" fillId="32" borderId="3" xfId="0" applyNumberFormat="1" applyFont="1" applyFill="1" applyBorder="1" applyAlignment="1">
      <alignment horizontal="right" vertical="center" wrapText="1"/>
    </xf>
    <xf numFmtId="179" fontId="73" fillId="32" borderId="3" xfId="0" applyNumberFormat="1" applyFont="1" applyFill="1" applyBorder="1" applyAlignment="1">
      <alignment horizontal="right" vertical="center" wrapText="1"/>
    </xf>
    <xf numFmtId="182" fontId="71" fillId="32" borderId="3" xfId="0" applyNumberFormat="1" applyFont="1" applyFill="1" applyBorder="1" applyAlignment="1">
      <alignment horizontal="right" vertical="center" wrapText="1"/>
    </xf>
    <xf numFmtId="171" fontId="73" fillId="32" borderId="3" xfId="0" applyNumberFormat="1" applyFont="1" applyFill="1" applyBorder="1" applyAlignment="1">
      <alignment horizontal="right" vertical="center" wrapText="1" shrinkToFit="1"/>
    </xf>
    <xf numFmtId="0" fontId="64" fillId="32" borderId="0" xfId="0" applyFont="1" applyFill="1" applyBorder="1" applyAlignment="1">
      <alignment horizontal="center" vertical="center"/>
    </xf>
    <xf numFmtId="179" fontId="80" fillId="0" borderId="3" xfId="0" applyNumberFormat="1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horizontal="center" vertical="top"/>
    </xf>
    <xf numFmtId="0" fontId="75" fillId="0" borderId="3" xfId="0" applyFont="1" applyFill="1" applyBorder="1" applyAlignment="1">
      <alignment horizontal="center" vertical="center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/>
    </xf>
    <xf numFmtId="0" fontId="70" fillId="0" borderId="13" xfId="0" applyFont="1" applyFill="1" applyBorder="1" applyAlignment="1">
      <alignment horizontal="center"/>
    </xf>
    <xf numFmtId="0" fontId="75" fillId="0" borderId="15" xfId="0" applyFont="1" applyFill="1" applyBorder="1" applyAlignment="1">
      <alignment horizontal="center" vertical="center"/>
    </xf>
    <xf numFmtId="0" fontId="75" fillId="0" borderId="14" xfId="0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 wrapText="1"/>
    </xf>
    <xf numFmtId="0" fontId="72" fillId="0" borderId="23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/>
    </xf>
    <xf numFmtId="0" fontId="72" fillId="0" borderId="18" xfId="0" applyFont="1" applyFill="1" applyBorder="1" applyAlignment="1">
      <alignment horizontal="center" vertical="center"/>
    </xf>
    <xf numFmtId="171" fontId="72" fillId="0" borderId="14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center" vertical="center" wrapText="1"/>
    </xf>
    <xf numFmtId="0" fontId="73" fillId="29" borderId="16" xfId="0" applyFont="1" applyFill="1" applyBorder="1" applyAlignment="1">
      <alignment horizontal="center" vertical="center" wrapText="1"/>
    </xf>
    <xf numFmtId="0" fontId="81" fillId="29" borderId="15" xfId="0" applyFont="1" applyFill="1" applyBorder="1" applyAlignment="1">
      <alignment horizontal="center" vertical="center" wrapText="1"/>
    </xf>
    <xf numFmtId="0" fontId="81" fillId="29" borderId="16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171" fontId="74" fillId="0" borderId="13" xfId="0" applyNumberFormat="1" applyFont="1" applyFill="1" applyBorder="1" applyAlignment="1">
      <alignment horizontal="left" wrapText="1"/>
    </xf>
    <xf numFmtId="0" fontId="64" fillId="0" borderId="19" xfId="0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center" wrapText="1"/>
    </xf>
    <xf numFmtId="0" fontId="73" fillId="29" borderId="15" xfId="0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/>
    </xf>
    <xf numFmtId="0" fontId="73" fillId="29" borderId="15" xfId="0" applyFont="1" applyFill="1" applyBorder="1" applyAlignment="1">
      <alignment horizontal="left" vertical="center" wrapText="1"/>
    </xf>
    <xf numFmtId="0" fontId="73" fillId="29" borderId="16" xfId="0" applyFont="1" applyFill="1" applyBorder="1" applyAlignment="1">
      <alignment horizontal="left" vertical="center" wrapText="1"/>
    </xf>
    <xf numFmtId="2" fontId="73" fillId="29" borderId="15" xfId="0" applyNumberFormat="1" applyFont="1" applyFill="1" applyBorder="1" applyAlignment="1">
      <alignment horizontal="left" vertical="center" wrapText="1"/>
    </xf>
    <xf numFmtId="2" fontId="73" fillId="29" borderId="16" xfId="0" applyNumberFormat="1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wrapText="1"/>
    </xf>
    <xf numFmtId="171" fontId="101" fillId="0" borderId="13" xfId="0" applyNumberFormat="1" applyFont="1" applyFill="1" applyBorder="1" applyAlignment="1">
      <alignment horizontal="left" wrapText="1"/>
    </xf>
    <xf numFmtId="0" fontId="73" fillId="0" borderId="14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69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67" fillId="0" borderId="0" xfId="0" applyFont="1" applyFill="1" applyAlignment="1">
      <alignment vertical="center" wrapText="1"/>
    </xf>
    <xf numFmtId="0" fontId="68" fillId="0" borderId="0" xfId="0" applyFont="1" applyAlignment="1">
      <alignment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3" fontId="63" fillId="0" borderId="3" xfId="0" applyNumberFormat="1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wrapText="1"/>
    </xf>
    <xf numFmtId="0" fontId="83" fillId="0" borderId="14" xfId="0" applyFont="1" applyFill="1" applyBorder="1" applyAlignment="1">
      <alignment horizont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1139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49"/>
  <sheetViews>
    <sheetView view="pageBreakPreview" topLeftCell="A81" zoomScale="75" zoomScaleNormal="75" zoomScaleSheetLayoutView="75" workbookViewId="0">
      <selection activeCell="G85" sqref="G85"/>
    </sheetView>
  </sheetViews>
  <sheetFormatPr defaultRowHeight="20.25"/>
  <cols>
    <col min="1" max="1" width="58.42578125" style="1" customWidth="1"/>
    <col min="2" max="2" width="11.140625" style="61" customWidth="1"/>
    <col min="3" max="3" width="18" style="61" customWidth="1"/>
    <col min="4" max="4" width="17.7109375" style="61" customWidth="1"/>
    <col min="5" max="5" width="16.140625" style="1" customWidth="1"/>
    <col min="6" max="6" width="16" style="1" customWidth="1"/>
    <col min="7" max="7" width="18.140625" style="1" customWidth="1"/>
    <col min="8" max="8" width="17.42578125" style="1" customWidth="1"/>
    <col min="9" max="9" width="16.7109375" style="1" customWidth="1"/>
    <col min="10" max="10" width="20.28515625" style="1" customWidth="1"/>
    <col min="11" max="11" width="19.140625" style="1" customWidth="1"/>
    <col min="12" max="12" width="17.42578125" style="1" customWidth="1"/>
    <col min="13" max="13" width="15.85546875" style="1" customWidth="1"/>
    <col min="14" max="16384" width="9.140625" style="1"/>
  </cols>
  <sheetData>
    <row r="1" spans="1:11" ht="93.75" customHeight="1">
      <c r="A1" s="314" t="s">
        <v>304</v>
      </c>
      <c r="B1" s="315"/>
      <c r="C1" s="315"/>
      <c r="D1" s="315"/>
      <c r="E1" s="315"/>
      <c r="F1" s="315"/>
      <c r="G1" s="315"/>
      <c r="H1" s="315"/>
    </row>
    <row r="2" spans="1:11" ht="24" customHeight="1">
      <c r="A2" s="313" t="s">
        <v>15</v>
      </c>
      <c r="B2" s="313"/>
      <c r="C2" s="313"/>
      <c r="D2" s="313"/>
      <c r="E2" s="313"/>
      <c r="F2" s="313"/>
      <c r="G2" s="313"/>
      <c r="H2" s="313"/>
    </row>
    <row r="3" spans="1:11" s="114" customFormat="1" ht="16.5" customHeight="1">
      <c r="A3" s="65"/>
      <c r="B3" s="66"/>
      <c r="C3" s="295"/>
      <c r="D3" s="66"/>
      <c r="E3" s="66"/>
      <c r="F3" s="66"/>
      <c r="G3" s="66"/>
      <c r="H3" s="67" t="s">
        <v>51</v>
      </c>
    </row>
    <row r="4" spans="1:11" ht="60.75" customHeight="1">
      <c r="A4" s="320" t="s">
        <v>20</v>
      </c>
      <c r="B4" s="321" t="s">
        <v>4</v>
      </c>
      <c r="C4" s="321" t="s">
        <v>102</v>
      </c>
      <c r="D4" s="321"/>
      <c r="E4" s="320" t="s">
        <v>307</v>
      </c>
      <c r="F4" s="320"/>
      <c r="G4" s="320"/>
      <c r="H4" s="320"/>
    </row>
    <row r="5" spans="1:11" ht="46.5" customHeight="1">
      <c r="A5" s="320"/>
      <c r="B5" s="321"/>
      <c r="C5" s="9" t="s">
        <v>305</v>
      </c>
      <c r="D5" s="9" t="s">
        <v>306</v>
      </c>
      <c r="E5" s="68" t="s">
        <v>154</v>
      </c>
      <c r="F5" s="68" t="s">
        <v>91</v>
      </c>
      <c r="G5" s="68" t="s">
        <v>92</v>
      </c>
      <c r="H5" s="68" t="s">
        <v>93</v>
      </c>
    </row>
    <row r="6" spans="1:11" s="114" customFormat="1" ht="21" customHeight="1">
      <c r="A6" s="63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spans="1:11" ht="23.25" customHeight="1">
      <c r="A7" s="322" t="s">
        <v>80</v>
      </c>
      <c r="B7" s="322"/>
      <c r="C7" s="322"/>
      <c r="D7" s="322"/>
      <c r="E7" s="322"/>
      <c r="F7" s="322"/>
      <c r="G7" s="322"/>
      <c r="H7" s="322"/>
    </row>
    <row r="8" spans="1:11" ht="42" customHeight="1">
      <c r="A8" s="69" t="s">
        <v>221</v>
      </c>
      <c r="B8" s="70">
        <v>1000</v>
      </c>
      <c r="C8" s="46">
        <v>120590.9</v>
      </c>
      <c r="D8" s="46">
        <v>145461.20000000001</v>
      </c>
      <c r="E8" s="296">
        <v>117796.2</v>
      </c>
      <c r="F8" s="46">
        <v>145461.20000000001</v>
      </c>
      <c r="G8" s="71">
        <f>F8-E8</f>
        <v>27665.000000000015</v>
      </c>
      <c r="H8" s="71">
        <f>(F8/E8)*100</f>
        <v>123.48547746022369</v>
      </c>
      <c r="J8" s="31"/>
    </row>
    <row r="9" spans="1:11" ht="63.75" customHeight="1">
      <c r="A9" s="69" t="s">
        <v>60</v>
      </c>
      <c r="B9" s="70">
        <v>1010</v>
      </c>
      <c r="C9" s="71">
        <f t="shared" ref="C9" si="0">SUM(C10:C14)</f>
        <v>-123679.90000000001</v>
      </c>
      <c r="D9" s="71">
        <f t="shared" ref="D9:F9" si="1">SUM(D10:D14)</f>
        <v>-156953.5</v>
      </c>
      <c r="E9" s="46">
        <f>SUM(E10:E14)</f>
        <v>-126680.20000000001</v>
      </c>
      <c r="F9" s="71">
        <f t="shared" si="1"/>
        <v>-156953.5</v>
      </c>
      <c r="G9" s="71">
        <f t="shared" ref="G9:G43" si="2">F9-E9</f>
        <v>-30273.299999999988</v>
      </c>
      <c r="H9" s="71">
        <f t="shared" ref="H9:H43" si="3">(F9/E9)*100</f>
        <v>123.89742043350105</v>
      </c>
      <c r="J9" s="56"/>
    </row>
    <row r="10" spans="1:11" ht="24.75" customHeight="1">
      <c r="A10" s="72" t="s">
        <v>61</v>
      </c>
      <c r="B10" s="108">
        <v>1011</v>
      </c>
      <c r="C10" s="21">
        <v>-32418.1</v>
      </c>
      <c r="D10" s="21">
        <v>-52219.7</v>
      </c>
      <c r="E10" s="21">
        <v>-31767.9</v>
      </c>
      <c r="F10" s="21">
        <v>-52219.7</v>
      </c>
      <c r="G10" s="22">
        <f t="shared" si="2"/>
        <v>-20451.799999999996</v>
      </c>
      <c r="H10" s="22">
        <f t="shared" si="3"/>
        <v>164.37882264801888</v>
      </c>
    </row>
    <row r="11" spans="1:11" ht="25.5" customHeight="1">
      <c r="A11" s="72" t="s">
        <v>1</v>
      </c>
      <c r="B11" s="108">
        <v>1012</v>
      </c>
      <c r="C11" s="21">
        <v>-66206.600000000006</v>
      </c>
      <c r="D11" s="21">
        <v>-73555.5</v>
      </c>
      <c r="E11" s="21">
        <v>-66143.199999999997</v>
      </c>
      <c r="F11" s="21">
        <v>-73555.5</v>
      </c>
      <c r="G11" s="22">
        <f t="shared" si="2"/>
        <v>-7412.3000000000029</v>
      </c>
      <c r="H11" s="22">
        <f t="shared" si="3"/>
        <v>111.20644299036032</v>
      </c>
      <c r="J11" s="56"/>
    </row>
    <row r="12" spans="1:11" ht="25.5" customHeight="1">
      <c r="A12" s="72" t="s">
        <v>2</v>
      </c>
      <c r="B12" s="108">
        <v>1013</v>
      </c>
      <c r="C12" s="21">
        <v>-14416.8</v>
      </c>
      <c r="D12" s="21">
        <v>-15976.7</v>
      </c>
      <c r="E12" s="21">
        <v>-14386.5</v>
      </c>
      <c r="F12" s="21">
        <v>-15976.7</v>
      </c>
      <c r="G12" s="22">
        <f t="shared" si="2"/>
        <v>-1590.2000000000007</v>
      </c>
      <c r="H12" s="22">
        <f t="shared" si="3"/>
        <v>111.05341813505719</v>
      </c>
      <c r="I12" s="56"/>
    </row>
    <row r="13" spans="1:11" ht="24" customHeight="1">
      <c r="A13" s="72" t="s">
        <v>3</v>
      </c>
      <c r="B13" s="108">
        <v>1014</v>
      </c>
      <c r="C13" s="21">
        <v>-9876.4</v>
      </c>
      <c r="D13" s="21">
        <v>-12932.2</v>
      </c>
      <c r="E13" s="21">
        <v>-12750</v>
      </c>
      <c r="F13" s="21">
        <v>-12932.2</v>
      </c>
      <c r="G13" s="22">
        <f t="shared" si="2"/>
        <v>-182.20000000000073</v>
      </c>
      <c r="H13" s="22">
        <f t="shared" si="3"/>
        <v>101.42901960784314</v>
      </c>
      <c r="I13" s="90"/>
      <c r="J13" s="90"/>
      <c r="K13" s="90"/>
    </row>
    <row r="14" spans="1:11" ht="24" customHeight="1">
      <c r="A14" s="72" t="s">
        <v>44</v>
      </c>
      <c r="B14" s="108">
        <v>1015</v>
      </c>
      <c r="C14" s="21">
        <v>-762</v>
      </c>
      <c r="D14" s="21">
        <v>-2269.4</v>
      </c>
      <c r="E14" s="21">
        <v>-1632.6</v>
      </c>
      <c r="F14" s="21">
        <v>-2269.4</v>
      </c>
      <c r="G14" s="22">
        <f t="shared" si="2"/>
        <v>-636.80000000000018</v>
      </c>
      <c r="H14" s="22">
        <f t="shared" si="3"/>
        <v>139.00526767119931</v>
      </c>
      <c r="I14" s="56"/>
    </row>
    <row r="15" spans="1:11" ht="28.5" customHeight="1">
      <c r="A15" s="69" t="s">
        <v>22</v>
      </c>
      <c r="B15" s="108">
        <v>1020</v>
      </c>
      <c r="C15" s="71">
        <f t="shared" ref="C15" si="4">SUM(C8:C9)</f>
        <v>-3089.0000000000146</v>
      </c>
      <c r="D15" s="71">
        <f t="shared" ref="D15:F15" si="5">SUM(D8:D9)</f>
        <v>-11492.299999999988</v>
      </c>
      <c r="E15" s="46">
        <f>SUM(E8:E9)</f>
        <v>-8884.0000000000146</v>
      </c>
      <c r="F15" s="71">
        <f t="shared" si="5"/>
        <v>-11492.299999999988</v>
      </c>
      <c r="G15" s="71">
        <f t="shared" si="2"/>
        <v>-2608.2999999999738</v>
      </c>
      <c r="H15" s="71">
        <f t="shared" si="3"/>
        <v>129.35952273750527</v>
      </c>
    </row>
    <row r="16" spans="1:11" ht="43.5" customHeight="1">
      <c r="A16" s="69" t="s">
        <v>75</v>
      </c>
      <c r="B16" s="70">
        <v>1020</v>
      </c>
      <c r="C16" s="71">
        <f t="shared" ref="C16" si="6">SUM(C17:C21)</f>
        <v>-5034.4000000000005</v>
      </c>
      <c r="D16" s="71">
        <f t="shared" ref="D16:F16" si="7">SUM(D17:D21)</f>
        <v>-7692.7</v>
      </c>
      <c r="E16" s="46">
        <f>SUM(E17:E21)</f>
        <v>-5902</v>
      </c>
      <c r="F16" s="71">
        <f t="shared" si="7"/>
        <v>-7692.7</v>
      </c>
      <c r="G16" s="71">
        <f t="shared" si="2"/>
        <v>-1790.6999999999998</v>
      </c>
      <c r="H16" s="71">
        <f t="shared" si="3"/>
        <v>130.34056252117924</v>
      </c>
    </row>
    <row r="17" spans="1:12" ht="27" customHeight="1">
      <c r="A17" s="72" t="s">
        <v>61</v>
      </c>
      <c r="B17" s="108">
        <v>1021</v>
      </c>
      <c r="C17" s="21">
        <v>-17.399999999999999</v>
      </c>
      <c r="D17" s="21">
        <v>-85</v>
      </c>
      <c r="E17" s="21">
        <v>-70</v>
      </c>
      <c r="F17" s="21">
        <v>-85</v>
      </c>
      <c r="G17" s="22">
        <f t="shared" si="2"/>
        <v>-15</v>
      </c>
      <c r="H17" s="22">
        <f t="shared" si="3"/>
        <v>121.42857142857142</v>
      </c>
      <c r="I17" s="56"/>
    </row>
    <row r="18" spans="1:12" ht="27.75" customHeight="1">
      <c r="A18" s="72" t="s">
        <v>1</v>
      </c>
      <c r="B18" s="108">
        <v>1022</v>
      </c>
      <c r="C18" s="21">
        <v>-3916.1</v>
      </c>
      <c r="D18" s="21">
        <v>-6121.9</v>
      </c>
      <c r="E18" s="21">
        <v>-4600</v>
      </c>
      <c r="F18" s="21">
        <v>-6121.9</v>
      </c>
      <c r="G18" s="22">
        <f t="shared" si="2"/>
        <v>-1521.8999999999996</v>
      </c>
      <c r="H18" s="22">
        <f t="shared" si="3"/>
        <v>133.08478260869566</v>
      </c>
      <c r="I18" s="56"/>
    </row>
    <row r="19" spans="1:12" ht="25.5" customHeight="1">
      <c r="A19" s="72" t="s">
        <v>2</v>
      </c>
      <c r="B19" s="108">
        <v>1023</v>
      </c>
      <c r="C19" s="21">
        <v>-752.1</v>
      </c>
      <c r="D19" s="21">
        <v>-1187.3</v>
      </c>
      <c r="E19" s="21">
        <v>-920</v>
      </c>
      <c r="F19" s="21">
        <v>-1187.3</v>
      </c>
      <c r="G19" s="22">
        <f t="shared" si="2"/>
        <v>-267.29999999999995</v>
      </c>
      <c r="H19" s="22">
        <f t="shared" si="3"/>
        <v>129.05434782608697</v>
      </c>
      <c r="I19" s="56"/>
    </row>
    <row r="20" spans="1:12" ht="24.75" customHeight="1">
      <c r="A20" s="72" t="s">
        <v>3</v>
      </c>
      <c r="B20" s="108">
        <v>1024</v>
      </c>
      <c r="C20" s="21"/>
      <c r="D20" s="21"/>
      <c r="E20" s="21" t="s">
        <v>276</v>
      </c>
      <c r="F20" s="21"/>
      <c r="G20" s="92" t="e">
        <f t="shared" si="2"/>
        <v>#VALUE!</v>
      </c>
      <c r="H20" s="22"/>
      <c r="I20" s="32"/>
      <c r="J20" s="32"/>
      <c r="K20" s="32"/>
    </row>
    <row r="21" spans="1:12" ht="38.25" customHeight="1">
      <c r="A21" s="72" t="s">
        <v>62</v>
      </c>
      <c r="B21" s="108">
        <v>1025</v>
      </c>
      <c r="C21" s="21">
        <v>-348.8</v>
      </c>
      <c r="D21" s="21">
        <v>-298.5</v>
      </c>
      <c r="E21" s="21">
        <v>-312</v>
      </c>
      <c r="F21" s="21">
        <v>-298.5</v>
      </c>
      <c r="G21" s="22">
        <f t="shared" si="2"/>
        <v>13.5</v>
      </c>
      <c r="H21" s="22">
        <f t="shared" si="3"/>
        <v>95.673076923076934</v>
      </c>
      <c r="I21" s="32"/>
      <c r="J21" s="32"/>
      <c r="K21" s="32"/>
    </row>
    <row r="22" spans="1:12" ht="38.25" customHeight="1">
      <c r="A22" s="69" t="s">
        <v>31</v>
      </c>
      <c r="B22" s="70">
        <v>1040</v>
      </c>
      <c r="C22" s="71">
        <f>SUM(C23:C24)</f>
        <v>15304.2</v>
      </c>
      <c r="D22" s="71">
        <f>SUM(D23:D24)</f>
        <v>20301.3</v>
      </c>
      <c r="E22" s="46">
        <f>E23+E24</f>
        <v>8375.4</v>
      </c>
      <c r="F22" s="71">
        <f>SUM(F23:F24)</f>
        <v>20301.3</v>
      </c>
      <c r="G22" s="71">
        <f t="shared" si="2"/>
        <v>11925.9</v>
      </c>
      <c r="H22" s="71">
        <f t="shared" si="3"/>
        <v>242.39200515796261</v>
      </c>
      <c r="I22" s="54"/>
      <c r="J22" s="54"/>
      <c r="K22" s="54"/>
      <c r="L22" s="54"/>
    </row>
    <row r="23" spans="1:12" ht="33" customHeight="1">
      <c r="A23" s="72" t="s">
        <v>32</v>
      </c>
      <c r="B23" s="108">
        <v>1041</v>
      </c>
      <c r="C23" s="22"/>
      <c r="D23" s="22"/>
      <c r="E23" s="21"/>
      <c r="F23" s="22"/>
      <c r="G23" s="22">
        <f t="shared" si="2"/>
        <v>0</v>
      </c>
      <c r="H23" s="73"/>
      <c r="I23" s="32"/>
      <c r="J23" s="32"/>
      <c r="K23" s="32"/>
    </row>
    <row r="24" spans="1:12" ht="30" customHeight="1">
      <c r="A24" s="72" t="s">
        <v>33</v>
      </c>
      <c r="B24" s="108">
        <v>1042</v>
      </c>
      <c r="C24" s="21">
        <v>15304.2</v>
      </c>
      <c r="D24" s="21">
        <v>20301.3</v>
      </c>
      <c r="E24" s="297">
        <v>8375.4</v>
      </c>
      <c r="F24" s="21">
        <v>20301.3</v>
      </c>
      <c r="G24" s="22">
        <f t="shared" si="2"/>
        <v>11925.9</v>
      </c>
      <c r="H24" s="22">
        <f t="shared" si="3"/>
        <v>242.39200515796261</v>
      </c>
    </row>
    <row r="25" spans="1:12" ht="42.75" customHeight="1">
      <c r="A25" s="69" t="s">
        <v>10</v>
      </c>
      <c r="B25" s="70">
        <v>1030</v>
      </c>
      <c r="C25" s="71">
        <f t="shared" ref="C25" si="8">SUM(C26:C30)</f>
        <v>-3995.7000000000003</v>
      </c>
      <c r="D25" s="71">
        <f t="shared" ref="D25:F25" si="9">SUM(D26:D30)</f>
        <v>-4212.8999999999996</v>
      </c>
      <c r="E25" s="46">
        <f t="shared" ref="E25" si="10">SUM(E26:E30)</f>
        <v>-4004</v>
      </c>
      <c r="F25" s="71">
        <f t="shared" si="9"/>
        <v>-4212.8999999999996</v>
      </c>
      <c r="G25" s="71">
        <f t="shared" si="2"/>
        <v>-208.89999999999964</v>
      </c>
      <c r="H25" s="71">
        <f t="shared" si="3"/>
        <v>105.2172827172827</v>
      </c>
    </row>
    <row r="26" spans="1:12" ht="21.95" customHeight="1">
      <c r="A26" s="72" t="s">
        <v>61</v>
      </c>
      <c r="B26" s="108">
        <v>1031</v>
      </c>
      <c r="C26" s="22"/>
      <c r="D26" s="21">
        <v>-68</v>
      </c>
      <c r="E26" s="21" t="s">
        <v>276</v>
      </c>
      <c r="F26" s="21">
        <v>-68</v>
      </c>
      <c r="G26" s="93" t="e">
        <f t="shared" si="2"/>
        <v>#VALUE!</v>
      </c>
      <c r="H26" s="71"/>
    </row>
    <row r="27" spans="1:12" ht="21.95" customHeight="1">
      <c r="A27" s="72" t="s">
        <v>1</v>
      </c>
      <c r="B27" s="108">
        <v>1032</v>
      </c>
      <c r="C27" s="21">
        <v>-2025.4</v>
      </c>
      <c r="D27" s="21">
        <v>-2405.1</v>
      </c>
      <c r="E27" s="21">
        <v>-2050</v>
      </c>
      <c r="F27" s="21">
        <v>-2405.1</v>
      </c>
      <c r="G27" s="22">
        <f t="shared" si="2"/>
        <v>-355.09999999999991</v>
      </c>
      <c r="H27" s="22">
        <f t="shared" si="3"/>
        <v>117.32195121951219</v>
      </c>
    </row>
    <row r="28" spans="1:12" ht="21.95" customHeight="1">
      <c r="A28" s="72" t="s">
        <v>2</v>
      </c>
      <c r="B28" s="108">
        <v>1033</v>
      </c>
      <c r="C28" s="21">
        <v>-392.2</v>
      </c>
      <c r="D28" s="21">
        <v>-475.4</v>
      </c>
      <c r="E28" s="21">
        <v>-399</v>
      </c>
      <c r="F28" s="21">
        <v>-475.4</v>
      </c>
      <c r="G28" s="22">
        <f t="shared" si="2"/>
        <v>-76.399999999999977</v>
      </c>
      <c r="H28" s="22">
        <f t="shared" si="3"/>
        <v>119.14786967418544</v>
      </c>
    </row>
    <row r="29" spans="1:12" ht="21.95" customHeight="1">
      <c r="A29" s="72" t="s">
        <v>3</v>
      </c>
      <c r="B29" s="108">
        <v>1034</v>
      </c>
      <c r="C29" s="21">
        <v>-1317.2</v>
      </c>
      <c r="D29" s="21">
        <v>-857</v>
      </c>
      <c r="E29" s="21">
        <v>-1280</v>
      </c>
      <c r="F29" s="21">
        <v>-857</v>
      </c>
      <c r="G29" s="22">
        <f t="shared" si="2"/>
        <v>423</v>
      </c>
      <c r="H29" s="73"/>
    </row>
    <row r="30" spans="1:12" ht="21.95" customHeight="1">
      <c r="A30" s="72" t="s">
        <v>63</v>
      </c>
      <c r="B30" s="108">
        <v>1035</v>
      </c>
      <c r="C30" s="21">
        <v>-260.89999999999998</v>
      </c>
      <c r="D30" s="21">
        <v>-407.4</v>
      </c>
      <c r="E30" s="21">
        <v>-275</v>
      </c>
      <c r="F30" s="21">
        <v>-407.4</v>
      </c>
      <c r="G30" s="22">
        <f t="shared" si="2"/>
        <v>-132.39999999999998</v>
      </c>
      <c r="H30" s="22">
        <f t="shared" si="3"/>
        <v>148.14545454545453</v>
      </c>
    </row>
    <row r="31" spans="1:12" ht="41.25" customHeight="1">
      <c r="A31" s="69" t="s">
        <v>0</v>
      </c>
      <c r="B31" s="108">
        <v>1100</v>
      </c>
      <c r="C31" s="71">
        <f t="shared" ref="C31" si="11">SUM(C15,C16,C22,C25)</f>
        <v>3185.0999999999854</v>
      </c>
      <c r="D31" s="71">
        <f t="shared" ref="D31:E31" si="12">SUM(D15,D16,D22,D25)</f>
        <v>-3096.5999999999894</v>
      </c>
      <c r="E31" s="46">
        <f t="shared" si="12"/>
        <v>-10414.600000000015</v>
      </c>
      <c r="F31" s="71">
        <f t="shared" ref="F31" si="13">SUM(F15,F16,F22,F25)</f>
        <v>-3096.5999999999894</v>
      </c>
      <c r="G31" s="71">
        <f t="shared" si="2"/>
        <v>7318.0000000000255</v>
      </c>
      <c r="H31" s="71">
        <f t="shared" si="3"/>
        <v>29.733259078601048</v>
      </c>
    </row>
    <row r="32" spans="1:12" ht="21.95" customHeight="1">
      <c r="A32" s="69" t="s">
        <v>222</v>
      </c>
      <c r="B32" s="70">
        <v>1130</v>
      </c>
      <c r="C32" s="71">
        <v>327.39999999999998</v>
      </c>
      <c r="D32" s="71">
        <v>2190.3000000000002</v>
      </c>
      <c r="E32" s="298">
        <v>261</v>
      </c>
      <c r="F32" s="71">
        <v>2190.3000000000002</v>
      </c>
      <c r="G32" s="71">
        <f t="shared" si="2"/>
        <v>1929.3000000000002</v>
      </c>
      <c r="H32" s="64">
        <f t="shared" si="3"/>
        <v>839.19540229885069</v>
      </c>
      <c r="I32" s="55"/>
      <c r="J32" s="54"/>
      <c r="K32" s="54"/>
      <c r="L32" s="54"/>
    </row>
    <row r="33" spans="1:14" ht="21.95" customHeight="1">
      <c r="A33" s="74" t="s">
        <v>223</v>
      </c>
      <c r="B33" s="70">
        <v>1140</v>
      </c>
      <c r="C33" s="22"/>
      <c r="D33" s="22"/>
      <c r="E33" s="21" t="s">
        <v>276</v>
      </c>
      <c r="F33" s="22"/>
      <c r="G33" s="93" t="e">
        <f t="shared" si="2"/>
        <v>#VALUE!</v>
      </c>
      <c r="H33" s="73"/>
      <c r="J33" s="54"/>
      <c r="K33" s="54"/>
      <c r="L33" s="54"/>
    </row>
    <row r="34" spans="1:14" ht="21.95" customHeight="1">
      <c r="A34" s="69" t="s">
        <v>224</v>
      </c>
      <c r="B34" s="70">
        <v>1150</v>
      </c>
      <c r="C34" s="46">
        <v>10603.7</v>
      </c>
      <c r="D34" s="46">
        <v>13789.1</v>
      </c>
      <c r="E34" s="298">
        <v>13280</v>
      </c>
      <c r="F34" s="46">
        <v>13789.1</v>
      </c>
      <c r="G34" s="71">
        <f t="shared" si="2"/>
        <v>509.10000000000036</v>
      </c>
      <c r="H34" s="75">
        <f>(F34/E34)*100</f>
        <v>103.83358433734939</v>
      </c>
      <c r="I34" s="54"/>
      <c r="J34" s="54"/>
      <c r="K34" s="54"/>
      <c r="L34" s="54"/>
    </row>
    <row r="35" spans="1:14" ht="21.95" customHeight="1">
      <c r="A35" s="69" t="s">
        <v>225</v>
      </c>
      <c r="B35" s="70">
        <v>1160</v>
      </c>
      <c r="C35" s="22"/>
      <c r="D35" s="22"/>
      <c r="E35" s="21" t="s">
        <v>276</v>
      </c>
      <c r="F35" s="22"/>
      <c r="G35" s="93" t="e">
        <f t="shared" si="2"/>
        <v>#VALUE!</v>
      </c>
      <c r="H35" s="73"/>
      <c r="J35" s="54"/>
      <c r="K35" s="54"/>
      <c r="L35" s="54"/>
    </row>
    <row r="36" spans="1:14" ht="43.5" customHeight="1">
      <c r="A36" s="69" t="s">
        <v>12</v>
      </c>
      <c r="B36" s="70">
        <v>1170</v>
      </c>
      <c r="C36" s="71">
        <f>SUM(C31, C32:C35)</f>
        <v>14116.199999999986</v>
      </c>
      <c r="D36" s="71">
        <f>SUM(D31, D32:D35)</f>
        <v>12882.80000000001</v>
      </c>
      <c r="E36" s="46">
        <f>SUM(E31, E32:E35)</f>
        <v>3126.3999999999851</v>
      </c>
      <c r="F36" s="71">
        <f>SUM(F31, F32:F35)</f>
        <v>12882.80000000001</v>
      </c>
      <c r="G36" s="71">
        <f t="shared" si="2"/>
        <v>9756.4000000000251</v>
      </c>
      <c r="H36" s="73"/>
      <c r="J36" s="54"/>
    </row>
    <row r="37" spans="1:14" ht="24.75" customHeight="1">
      <c r="A37" s="74" t="s">
        <v>24</v>
      </c>
      <c r="B37" s="108">
        <v>1180</v>
      </c>
      <c r="C37" s="22"/>
      <c r="D37" s="22"/>
      <c r="E37" s="21" t="s">
        <v>276</v>
      </c>
      <c r="F37" s="22"/>
      <c r="G37" s="93" t="e">
        <f t="shared" si="2"/>
        <v>#VALUE!</v>
      </c>
      <c r="H37" s="73"/>
    </row>
    <row r="38" spans="1:14" ht="29.25" customHeight="1">
      <c r="A38" s="74" t="s">
        <v>25</v>
      </c>
      <c r="B38" s="108">
        <v>1181</v>
      </c>
      <c r="C38" s="22"/>
      <c r="D38" s="22"/>
      <c r="E38" s="21"/>
      <c r="F38" s="22"/>
      <c r="G38" s="71">
        <f t="shared" si="2"/>
        <v>0</v>
      </c>
      <c r="H38" s="73"/>
    </row>
    <row r="39" spans="1:14" ht="21.95" customHeight="1">
      <c r="A39" s="69" t="s">
        <v>40</v>
      </c>
      <c r="B39" s="108">
        <v>1200</v>
      </c>
      <c r="C39" s="71">
        <f>SUM(C36:C38)</f>
        <v>14116.199999999986</v>
      </c>
      <c r="D39" s="71">
        <f>SUM(D36:D38)</f>
        <v>12882.80000000001</v>
      </c>
      <c r="E39" s="46">
        <f>SUM(E36:E38)</f>
        <v>3126.3999999999851</v>
      </c>
      <c r="F39" s="71">
        <f>SUM(F36:F38)</f>
        <v>12882.80000000001</v>
      </c>
      <c r="G39" s="71">
        <f t="shared" si="2"/>
        <v>9756.4000000000251</v>
      </c>
      <c r="H39" s="76"/>
    </row>
    <row r="40" spans="1:14" ht="21.95" customHeight="1">
      <c r="A40" s="74" t="s">
        <v>41</v>
      </c>
      <c r="B40" s="108">
        <v>1201</v>
      </c>
      <c r="C40" s="22">
        <f>C42+C43</f>
        <v>14116.200000000012</v>
      </c>
      <c r="D40" s="22">
        <f>D42+D43</f>
        <v>12882.799999999988</v>
      </c>
      <c r="E40" s="21">
        <f t="shared" ref="E40" si="14">E42+E43</f>
        <v>3126.3999999999651</v>
      </c>
      <c r="F40" s="22">
        <f>F42+F43</f>
        <v>12882.799999999988</v>
      </c>
      <c r="G40" s="22">
        <f t="shared" si="2"/>
        <v>9756.4000000000233</v>
      </c>
      <c r="H40" s="73"/>
    </row>
    <row r="41" spans="1:14" ht="21.95" customHeight="1">
      <c r="A41" s="74" t="s">
        <v>42</v>
      </c>
      <c r="B41" s="108">
        <v>1202</v>
      </c>
      <c r="C41" s="22"/>
      <c r="D41" s="22"/>
      <c r="E41" s="21" t="s">
        <v>276</v>
      </c>
      <c r="F41" s="22"/>
      <c r="G41" s="93" t="e">
        <f t="shared" si="2"/>
        <v>#VALUE!</v>
      </c>
      <c r="H41" s="73"/>
    </row>
    <row r="42" spans="1:14" ht="21.95" customHeight="1">
      <c r="A42" s="69" t="s">
        <v>97</v>
      </c>
      <c r="B42" s="70">
        <v>1210</v>
      </c>
      <c r="C42" s="71">
        <f t="shared" ref="C42" si="15">SUM(C8,C22,C32,C34,C38)</f>
        <v>146826.20000000001</v>
      </c>
      <c r="D42" s="71">
        <f t="shared" ref="D42" si="16">SUM(D8,D22,D32,D34,D38)</f>
        <v>181741.9</v>
      </c>
      <c r="E42" s="46">
        <f>SUM(E8,E22,E32,E34,E38)</f>
        <v>139712.59999999998</v>
      </c>
      <c r="F42" s="71">
        <f t="shared" ref="F42" si="17">SUM(F8,F22,F32,F34,F38)</f>
        <v>181741.9</v>
      </c>
      <c r="G42" s="71">
        <f t="shared" si="2"/>
        <v>42029.300000000017</v>
      </c>
      <c r="H42" s="75">
        <f t="shared" si="3"/>
        <v>130.08268402420399</v>
      </c>
    </row>
    <row r="43" spans="1:14" ht="21.95" customHeight="1">
      <c r="A43" s="69" t="s">
        <v>98</v>
      </c>
      <c r="B43" s="70">
        <v>1220</v>
      </c>
      <c r="C43" s="71">
        <f t="shared" ref="C43" si="18">SUM(C9,C16,C25,C33,C35,C37)</f>
        <v>-132710</v>
      </c>
      <c r="D43" s="71">
        <f t="shared" ref="D43" si="19">SUM(D9,D16,D25,D33,D35,D37)</f>
        <v>-168859.1</v>
      </c>
      <c r="E43" s="46">
        <f>SUM(E9,E16,E25,E33,E35,E37)</f>
        <v>-136586.20000000001</v>
      </c>
      <c r="F43" s="71">
        <f t="shared" ref="F43" si="20">SUM(F9,F16,F25,F33,F35,F37)</f>
        <v>-168859.1</v>
      </c>
      <c r="G43" s="71">
        <f t="shared" si="2"/>
        <v>-32272.899999999994</v>
      </c>
      <c r="H43" s="75">
        <f t="shared" si="3"/>
        <v>123.62822891331626</v>
      </c>
      <c r="I43" s="31"/>
      <c r="J43" s="31"/>
      <c r="K43" s="31"/>
      <c r="L43" s="31"/>
      <c r="M43" s="31"/>
      <c r="N43" s="31"/>
    </row>
    <row r="44" spans="1:14" ht="21.95" customHeight="1">
      <c r="A44" s="323" t="s">
        <v>103</v>
      </c>
      <c r="B44" s="323"/>
      <c r="C44" s="323"/>
      <c r="D44" s="323"/>
      <c r="E44" s="323"/>
      <c r="F44" s="323"/>
      <c r="G44" s="323"/>
      <c r="H44" s="323"/>
      <c r="J44" s="56"/>
    </row>
    <row r="45" spans="1:14" ht="25.5" customHeight="1">
      <c r="A45" s="72" t="s">
        <v>50</v>
      </c>
      <c r="B45" s="109">
        <v>9000</v>
      </c>
      <c r="C45" s="22">
        <f>-C10-C17</f>
        <v>32435.5</v>
      </c>
      <c r="D45" s="22">
        <f>-D10-D17-D26</f>
        <v>52372.7</v>
      </c>
      <c r="E45" s="22">
        <f>-E10-E17</f>
        <v>31837.9</v>
      </c>
      <c r="F45" s="22">
        <f>-F10-F17-F26</f>
        <v>52372.7</v>
      </c>
      <c r="G45" s="22">
        <f t="shared" ref="G45:G50" si="21">F45-E45</f>
        <v>20534.799999999996</v>
      </c>
      <c r="H45" s="22">
        <f t="shared" ref="H45:H50" si="22">(F45/E45)*100</f>
        <v>164.49797254215886</v>
      </c>
      <c r="I45" s="32"/>
      <c r="J45" s="32"/>
      <c r="K45" s="32"/>
      <c r="L45" s="32"/>
    </row>
    <row r="46" spans="1:14" ht="27" customHeight="1">
      <c r="A46" s="72" t="s">
        <v>1</v>
      </c>
      <c r="B46" s="109">
        <v>9010</v>
      </c>
      <c r="C46" s="22">
        <f t="shared" ref="C46:C47" si="23">-C11-C18-C27</f>
        <v>72148.100000000006</v>
      </c>
      <c r="D46" s="22">
        <f t="shared" ref="D46:F47" si="24">-D11-D18-D27</f>
        <v>82082.5</v>
      </c>
      <c r="E46" s="22">
        <f t="shared" si="24"/>
        <v>72793.2</v>
      </c>
      <c r="F46" s="22">
        <f t="shared" si="24"/>
        <v>82082.5</v>
      </c>
      <c r="G46" s="22">
        <f t="shared" si="21"/>
        <v>9289.3000000000029</v>
      </c>
      <c r="H46" s="22">
        <f t="shared" si="22"/>
        <v>112.76121945456443</v>
      </c>
      <c r="I46" s="32"/>
      <c r="J46" s="32"/>
      <c r="K46" s="32"/>
      <c r="L46" s="32"/>
    </row>
    <row r="47" spans="1:14" ht="24" customHeight="1">
      <c r="A47" s="72" t="s">
        <v>2</v>
      </c>
      <c r="B47" s="109">
        <v>9020</v>
      </c>
      <c r="C47" s="22">
        <f t="shared" si="23"/>
        <v>15561.1</v>
      </c>
      <c r="D47" s="22">
        <f t="shared" si="24"/>
        <v>17639.400000000001</v>
      </c>
      <c r="E47" s="22">
        <f t="shared" si="24"/>
        <v>15705.5</v>
      </c>
      <c r="F47" s="22">
        <f t="shared" si="24"/>
        <v>17639.400000000001</v>
      </c>
      <c r="G47" s="22">
        <f t="shared" si="21"/>
        <v>1933.9000000000015</v>
      </c>
      <c r="H47" s="22">
        <f t="shared" si="22"/>
        <v>112.31352074114164</v>
      </c>
      <c r="I47" s="32"/>
      <c r="J47" s="32"/>
      <c r="K47" s="32"/>
      <c r="L47" s="32"/>
    </row>
    <row r="48" spans="1:14" ht="24.75" customHeight="1">
      <c r="A48" s="72" t="s">
        <v>3</v>
      </c>
      <c r="B48" s="109">
        <v>9030</v>
      </c>
      <c r="C48" s="22">
        <f>-C13-C29</f>
        <v>11193.6</v>
      </c>
      <c r="D48" s="22">
        <f>-D13-D29</f>
        <v>13789.2</v>
      </c>
      <c r="E48" s="22">
        <f>-E13-E29</f>
        <v>14030</v>
      </c>
      <c r="F48" s="22">
        <f>-F13-F29</f>
        <v>13789.2</v>
      </c>
      <c r="G48" s="22">
        <f t="shared" si="21"/>
        <v>-240.79999999999927</v>
      </c>
      <c r="H48" s="22">
        <f t="shared" si="22"/>
        <v>98.28367783321454</v>
      </c>
      <c r="I48" s="32"/>
      <c r="J48" s="32"/>
      <c r="K48" s="32"/>
      <c r="L48" s="32"/>
    </row>
    <row r="49" spans="1:12" ht="24" customHeight="1">
      <c r="A49" s="72" t="s">
        <v>5</v>
      </c>
      <c r="B49" s="109">
        <v>9040</v>
      </c>
      <c r="C49" s="22">
        <f>-C30-C14-C21</f>
        <v>1371.7</v>
      </c>
      <c r="D49" s="22">
        <f>-D30-D14-D21</f>
        <v>2975.3</v>
      </c>
      <c r="E49" s="22">
        <f>-E30-E14-E21</f>
        <v>2219.6</v>
      </c>
      <c r="F49" s="22">
        <f>-F30-F14-F21</f>
        <v>2975.3</v>
      </c>
      <c r="G49" s="22">
        <f t="shared" si="21"/>
        <v>755.70000000000027</v>
      </c>
      <c r="H49" s="22">
        <f t="shared" si="22"/>
        <v>134.04667507659039</v>
      </c>
      <c r="I49" s="32"/>
      <c r="J49" s="32"/>
      <c r="K49" s="32"/>
      <c r="L49" s="32"/>
    </row>
    <row r="50" spans="1:12" ht="21.95" customHeight="1">
      <c r="A50" s="77" t="s">
        <v>7</v>
      </c>
      <c r="B50" s="110">
        <v>9050</v>
      </c>
      <c r="C50" s="71">
        <f>SUM(C45:C49)</f>
        <v>132710.00000000003</v>
      </c>
      <c r="D50" s="71">
        <f t="shared" ref="D50:F50" si="25">SUM(D45:D49)</f>
        <v>168859.1</v>
      </c>
      <c r="E50" s="71">
        <f t="shared" ref="E50" si="26">SUM(E45:E49)</f>
        <v>136586.20000000001</v>
      </c>
      <c r="F50" s="71">
        <f t="shared" si="25"/>
        <v>168859.1</v>
      </c>
      <c r="G50" s="71">
        <f t="shared" si="21"/>
        <v>32272.899999999994</v>
      </c>
      <c r="H50" s="71">
        <f t="shared" si="22"/>
        <v>123.62822891331626</v>
      </c>
      <c r="I50" s="32"/>
      <c r="J50" s="32"/>
      <c r="K50" s="32"/>
      <c r="L50" s="32"/>
    </row>
    <row r="51" spans="1:12" ht="21.95" customHeight="1">
      <c r="A51" s="316" t="s">
        <v>81</v>
      </c>
      <c r="B51" s="316"/>
      <c r="C51" s="316"/>
      <c r="D51" s="316"/>
      <c r="E51" s="316"/>
      <c r="F51" s="316"/>
      <c r="G51" s="316"/>
      <c r="H51" s="316"/>
      <c r="J51" s="32"/>
    </row>
    <row r="52" spans="1:12" ht="63" customHeight="1">
      <c r="A52" s="78" t="s">
        <v>212</v>
      </c>
      <c r="B52" s="70">
        <v>2110</v>
      </c>
      <c r="C52" s="71">
        <f t="shared" ref="C52:D52" si="27">SUM(C53:C56)</f>
        <v>-1113.5</v>
      </c>
      <c r="D52" s="71">
        <f t="shared" si="27"/>
        <v>-1262.6000000000001</v>
      </c>
      <c r="E52" s="71">
        <f t="shared" ref="E52:F52" si="28">SUM(E53:E56)</f>
        <v>-1141.9000000000001</v>
      </c>
      <c r="F52" s="71">
        <f t="shared" si="28"/>
        <v>-1262.6000000000001</v>
      </c>
      <c r="G52" s="71">
        <f>F52-E52</f>
        <v>-120.70000000000005</v>
      </c>
      <c r="H52" s="71">
        <f>(F52/E52)*100</f>
        <v>110.57010246081094</v>
      </c>
      <c r="I52" s="32"/>
    </row>
    <row r="53" spans="1:12" ht="42" customHeight="1">
      <c r="A53" s="72" t="s">
        <v>47</v>
      </c>
      <c r="B53" s="108">
        <v>2111</v>
      </c>
      <c r="C53" s="22">
        <v>-24.5</v>
      </c>
      <c r="D53" s="21">
        <v>-18.7</v>
      </c>
      <c r="E53" s="21">
        <v>-50</v>
      </c>
      <c r="F53" s="21">
        <v>-18.7</v>
      </c>
      <c r="G53" s="22">
        <f t="shared" ref="G53:G68" si="29">F53-E53</f>
        <v>31.3</v>
      </c>
      <c r="H53" s="22">
        <f>(F53/E53)*100</f>
        <v>37.4</v>
      </c>
    </row>
    <row r="54" spans="1:12" ht="40.5" customHeight="1">
      <c r="A54" s="79" t="s">
        <v>48</v>
      </c>
      <c r="B54" s="108">
        <v>2112</v>
      </c>
      <c r="C54" s="22"/>
      <c r="D54" s="22"/>
      <c r="E54" s="22"/>
      <c r="F54" s="22"/>
      <c r="G54" s="22">
        <f t="shared" si="29"/>
        <v>0</v>
      </c>
      <c r="H54" s="73"/>
    </row>
    <row r="55" spans="1:12" ht="24.75" customHeight="1">
      <c r="A55" s="72" t="s">
        <v>55</v>
      </c>
      <c r="B55" s="108">
        <v>2113</v>
      </c>
      <c r="C55" s="21">
        <v>-1089</v>
      </c>
      <c r="D55" s="21">
        <v>-1243.9000000000001</v>
      </c>
      <c r="E55" s="21">
        <v>-1091.9000000000001</v>
      </c>
      <c r="F55" s="21">
        <v>-1243.9000000000001</v>
      </c>
      <c r="G55" s="22">
        <f t="shared" si="29"/>
        <v>-152</v>
      </c>
      <c r="H55" s="22">
        <f t="shared" ref="H55:H68" si="30">(F55/E55)*100</f>
        <v>113.92068870775711</v>
      </c>
    </row>
    <row r="56" spans="1:12" ht="24.75" customHeight="1">
      <c r="A56" s="72" t="s">
        <v>35</v>
      </c>
      <c r="B56" s="108">
        <v>2114</v>
      </c>
      <c r="C56" s="22"/>
      <c r="D56" s="22"/>
      <c r="E56" s="22"/>
      <c r="F56" s="22"/>
      <c r="G56" s="71">
        <f t="shared" si="29"/>
        <v>0</v>
      </c>
      <c r="H56" s="73"/>
    </row>
    <row r="57" spans="1:12" ht="41.25" customHeight="1">
      <c r="A57" s="80" t="s">
        <v>52</v>
      </c>
      <c r="B57" s="110">
        <v>2120</v>
      </c>
      <c r="C57" s="71">
        <f>SUM(C58:C63)</f>
        <v>-13068.8</v>
      </c>
      <c r="D57" s="71">
        <f>SUM(D58:D63)</f>
        <v>-14922.6</v>
      </c>
      <c r="E57" s="71">
        <f>SUM(E58:E63)</f>
        <v>-13102.8</v>
      </c>
      <c r="F57" s="71">
        <f>SUM(F58:F63)</f>
        <v>-14922.6</v>
      </c>
      <c r="G57" s="71">
        <f t="shared" si="29"/>
        <v>-1819.8000000000011</v>
      </c>
      <c r="H57" s="71">
        <f t="shared" si="30"/>
        <v>113.88863449033795</v>
      </c>
    </row>
    <row r="58" spans="1:12" ht="27" customHeight="1">
      <c r="A58" s="79" t="s">
        <v>34</v>
      </c>
      <c r="B58" s="109">
        <v>2121</v>
      </c>
      <c r="C58" s="22"/>
      <c r="D58" s="22"/>
      <c r="E58" s="22"/>
      <c r="F58" s="22"/>
      <c r="G58" s="71">
        <f t="shared" si="29"/>
        <v>0</v>
      </c>
      <c r="H58" s="73"/>
    </row>
    <row r="59" spans="1:12" ht="27" customHeight="1">
      <c r="A59" s="72" t="s">
        <v>11</v>
      </c>
      <c r="B59" s="109">
        <v>2122</v>
      </c>
      <c r="C59" s="21">
        <v>-13068.8</v>
      </c>
      <c r="D59" s="21">
        <v>-14922.6</v>
      </c>
      <c r="E59" s="21">
        <v>-13102.8</v>
      </c>
      <c r="F59" s="21">
        <v>-14922.6</v>
      </c>
      <c r="G59" s="22">
        <f t="shared" si="29"/>
        <v>-1819.8000000000011</v>
      </c>
      <c r="H59" s="22">
        <f t="shared" si="30"/>
        <v>113.88863449033795</v>
      </c>
    </row>
    <row r="60" spans="1:12" ht="21.95" customHeight="1">
      <c r="A60" s="72" t="s">
        <v>38</v>
      </c>
      <c r="B60" s="109">
        <v>2123</v>
      </c>
      <c r="C60" s="22"/>
      <c r="D60" s="22"/>
      <c r="E60" s="22"/>
      <c r="F60" s="22"/>
      <c r="G60" s="71">
        <f t="shared" si="29"/>
        <v>0</v>
      </c>
      <c r="H60" s="73"/>
    </row>
    <row r="61" spans="1:12" ht="25.5" customHeight="1">
      <c r="A61" s="72" t="s">
        <v>39</v>
      </c>
      <c r="B61" s="109">
        <v>2124</v>
      </c>
      <c r="C61" s="22"/>
      <c r="D61" s="22"/>
      <c r="E61" s="22"/>
      <c r="F61" s="22"/>
      <c r="G61" s="71">
        <f t="shared" si="29"/>
        <v>0</v>
      </c>
      <c r="H61" s="73"/>
    </row>
    <row r="62" spans="1:12" ht="80.25" customHeight="1">
      <c r="A62" s="72" t="s">
        <v>99</v>
      </c>
      <c r="B62" s="109">
        <v>2125</v>
      </c>
      <c r="C62" s="22"/>
      <c r="D62" s="22"/>
      <c r="E62" s="22"/>
      <c r="F62" s="22"/>
      <c r="G62" s="71">
        <f t="shared" si="29"/>
        <v>0</v>
      </c>
      <c r="H62" s="73"/>
    </row>
    <row r="63" spans="1:12" ht="22.5" customHeight="1">
      <c r="A63" s="72" t="s">
        <v>35</v>
      </c>
      <c r="B63" s="109">
        <v>2126</v>
      </c>
      <c r="C63" s="22"/>
      <c r="D63" s="22"/>
      <c r="E63" s="22"/>
      <c r="F63" s="22"/>
      <c r="G63" s="71">
        <f t="shared" si="29"/>
        <v>0</v>
      </c>
      <c r="H63" s="73"/>
    </row>
    <row r="64" spans="1:12" ht="44.25" customHeight="1">
      <c r="A64" s="78" t="s">
        <v>53</v>
      </c>
      <c r="B64" s="110">
        <v>2130</v>
      </c>
      <c r="C64" s="71">
        <f t="shared" ref="C64:D64" si="31">SUM(C65:C67)</f>
        <v>-16228.900000000001</v>
      </c>
      <c r="D64" s="71">
        <f t="shared" si="31"/>
        <v>-18396.800000000003</v>
      </c>
      <c r="E64" s="71">
        <f t="shared" ref="E64:F64" si="32">SUM(E65:E67)</f>
        <v>-16433.400000000001</v>
      </c>
      <c r="F64" s="71">
        <f t="shared" si="32"/>
        <v>-18396.800000000003</v>
      </c>
      <c r="G64" s="71">
        <f t="shared" si="29"/>
        <v>-1963.4000000000015</v>
      </c>
      <c r="H64" s="71">
        <f t="shared" si="30"/>
        <v>111.94761887375711</v>
      </c>
    </row>
    <row r="65" spans="1:8" ht="24" customHeight="1">
      <c r="A65" s="72" t="s">
        <v>36</v>
      </c>
      <c r="B65" s="109">
        <v>2131</v>
      </c>
      <c r="C65" s="22"/>
      <c r="D65" s="22"/>
      <c r="E65" s="22"/>
      <c r="F65" s="22"/>
      <c r="G65" s="71">
        <f t="shared" si="29"/>
        <v>0</v>
      </c>
      <c r="H65" s="73"/>
    </row>
    <row r="66" spans="1:8" ht="41.25" customHeight="1">
      <c r="A66" s="72" t="s">
        <v>37</v>
      </c>
      <c r="B66" s="109">
        <v>2132</v>
      </c>
      <c r="C66" s="21">
        <v>-15561.2</v>
      </c>
      <c r="D66" s="21">
        <v>-17639.400000000001</v>
      </c>
      <c r="E66" s="21">
        <v>-15705.5</v>
      </c>
      <c r="F66" s="21">
        <v>-17639.400000000001</v>
      </c>
      <c r="G66" s="22">
        <f t="shared" si="29"/>
        <v>-1933.9000000000015</v>
      </c>
      <c r="H66" s="22">
        <f t="shared" si="30"/>
        <v>112.31352074114164</v>
      </c>
    </row>
    <row r="67" spans="1:8" ht="39" customHeight="1">
      <c r="A67" s="72" t="s">
        <v>208</v>
      </c>
      <c r="B67" s="109">
        <v>2133</v>
      </c>
      <c r="C67" s="21">
        <v>-667.7</v>
      </c>
      <c r="D67" s="21">
        <v>-757.4</v>
      </c>
      <c r="E67" s="21">
        <v>-727.9</v>
      </c>
      <c r="F67" s="21">
        <v>-757.4</v>
      </c>
      <c r="G67" s="22">
        <f t="shared" si="29"/>
        <v>-29.5</v>
      </c>
      <c r="H67" s="22">
        <f t="shared" si="30"/>
        <v>104.0527544992444</v>
      </c>
    </row>
    <row r="68" spans="1:8" ht="27" customHeight="1">
      <c r="A68" s="80" t="s">
        <v>49</v>
      </c>
      <c r="B68" s="110">
        <v>2200</v>
      </c>
      <c r="C68" s="71">
        <f>SUM(C52+C57+C64)</f>
        <v>-30411.200000000001</v>
      </c>
      <c r="D68" s="71">
        <f>SUM(D52+D57+D64)</f>
        <v>-34582</v>
      </c>
      <c r="E68" s="71">
        <f>SUM(E52+E57+E64)</f>
        <v>-30678.1</v>
      </c>
      <c r="F68" s="71">
        <f>SUM(F52+F57+F64)</f>
        <v>-34582</v>
      </c>
      <c r="G68" s="71">
        <f t="shared" si="29"/>
        <v>-3903.9000000000015</v>
      </c>
      <c r="H68" s="71">
        <f t="shared" si="30"/>
        <v>112.72536434785727</v>
      </c>
    </row>
    <row r="69" spans="1:8" ht="24" customHeight="1">
      <c r="A69" s="317" t="s">
        <v>82</v>
      </c>
      <c r="B69" s="318"/>
      <c r="C69" s="318"/>
      <c r="D69" s="318"/>
      <c r="E69" s="318"/>
      <c r="F69" s="318"/>
      <c r="G69" s="318"/>
      <c r="H69" s="319"/>
    </row>
    <row r="70" spans="1:8" ht="27.75" customHeight="1">
      <c r="A70" s="69" t="s">
        <v>16</v>
      </c>
      <c r="B70" s="70">
        <v>4000</v>
      </c>
      <c r="C70" s="71">
        <f>SUM(C71:C77)</f>
        <v>-146087.1</v>
      </c>
      <c r="D70" s="71">
        <f>SUM(D71:D77)</f>
        <v>3422.5</v>
      </c>
      <c r="E70" s="71">
        <f>SUM(E71:E77)</f>
        <v>-5749.9</v>
      </c>
      <c r="F70" s="71">
        <f>SUM(F71:F77)</f>
        <v>3422.5</v>
      </c>
      <c r="G70" s="71">
        <f>F70-(-E70)</f>
        <v>-2327.3999999999996</v>
      </c>
      <c r="H70" s="93">
        <f>(F70/E70)*100</f>
        <v>-59.522774309118418</v>
      </c>
    </row>
    <row r="71" spans="1:8" ht="24.75" customHeight="1">
      <c r="A71" s="72" t="s">
        <v>56</v>
      </c>
      <c r="B71" s="108">
        <v>4010</v>
      </c>
      <c r="C71" s="22"/>
      <c r="D71" s="22"/>
      <c r="E71" s="22"/>
      <c r="F71" s="22"/>
      <c r="G71" s="71">
        <f t="shared" ref="G71:G77" si="33">F71-E71</f>
        <v>0</v>
      </c>
      <c r="H71" s="22"/>
    </row>
    <row r="72" spans="1:8" ht="42.75" customHeight="1">
      <c r="A72" s="72" t="s">
        <v>226</v>
      </c>
      <c r="B72" s="108">
        <v>4020</v>
      </c>
      <c r="C72" s="22">
        <v>-20883</v>
      </c>
      <c r="D72" s="22">
        <v>2033.8</v>
      </c>
      <c r="E72" s="22">
        <v>-3238</v>
      </c>
      <c r="F72" s="22">
        <f>D72</f>
        <v>2033.8</v>
      </c>
      <c r="G72" s="71">
        <f>F72-(-E72)</f>
        <v>-1204.2</v>
      </c>
      <c r="H72" s="92">
        <f t="shared" ref="H72" si="34">(F72/E72)*100</f>
        <v>-62.810376775787525</v>
      </c>
    </row>
    <row r="73" spans="1:8" ht="57.75" customHeight="1">
      <c r="A73" s="72" t="s">
        <v>64</v>
      </c>
      <c r="B73" s="108">
        <v>4030</v>
      </c>
      <c r="C73" s="22"/>
      <c r="D73" s="22"/>
      <c r="E73" s="22"/>
      <c r="F73" s="22"/>
      <c r="G73" s="71">
        <f t="shared" si="33"/>
        <v>0</v>
      </c>
      <c r="H73" s="73"/>
    </row>
    <row r="74" spans="1:8" ht="42" customHeight="1">
      <c r="A74" s="72" t="s">
        <v>227</v>
      </c>
      <c r="B74" s="108">
        <v>4040</v>
      </c>
      <c r="C74" s="22"/>
      <c r="D74" s="22"/>
      <c r="E74" s="22"/>
      <c r="F74" s="22"/>
      <c r="G74" s="71">
        <f t="shared" si="33"/>
        <v>0</v>
      </c>
      <c r="H74" s="73"/>
    </row>
    <row r="75" spans="1:8" ht="61.5" customHeight="1">
      <c r="A75" s="72" t="s">
        <v>57</v>
      </c>
      <c r="B75" s="108">
        <v>4050</v>
      </c>
      <c r="C75" s="22">
        <v>-125204.1</v>
      </c>
      <c r="D75" s="301">
        <v>65.099999999999994</v>
      </c>
      <c r="E75" s="22"/>
      <c r="F75" s="301">
        <v>65.099999999999994</v>
      </c>
      <c r="G75" s="71">
        <f>F75-(-E75)</f>
        <v>65.099999999999994</v>
      </c>
      <c r="H75" s="73"/>
    </row>
    <row r="76" spans="1:8" ht="24" customHeight="1">
      <c r="A76" s="72" t="s">
        <v>58</v>
      </c>
      <c r="B76" s="108">
        <v>4060</v>
      </c>
      <c r="C76" s="22" t="s">
        <v>247</v>
      </c>
      <c r="D76" s="22">
        <v>1323.6</v>
      </c>
      <c r="E76" s="22">
        <v>-2511.9</v>
      </c>
      <c r="F76" s="22">
        <f>D76</f>
        <v>1323.6</v>
      </c>
      <c r="G76" s="71">
        <f>F76-(-E76)</f>
        <v>-1188.3000000000002</v>
      </c>
      <c r="H76" s="73"/>
    </row>
    <row r="77" spans="1:8" ht="24.75" customHeight="1">
      <c r="A77" s="72" t="s">
        <v>44</v>
      </c>
      <c r="B77" s="108">
        <v>4070</v>
      </c>
      <c r="C77" s="22"/>
      <c r="D77" s="22"/>
      <c r="E77" s="22"/>
      <c r="F77" s="22"/>
      <c r="G77" s="71">
        <f t="shared" si="33"/>
        <v>0</v>
      </c>
      <c r="H77" s="73"/>
    </row>
    <row r="78" spans="1:8" ht="21.95" customHeight="1">
      <c r="A78" s="326" t="s">
        <v>83</v>
      </c>
      <c r="B78" s="327"/>
      <c r="C78" s="327"/>
      <c r="D78" s="327"/>
      <c r="E78" s="327"/>
      <c r="F78" s="327"/>
      <c r="G78" s="327"/>
      <c r="H78" s="328"/>
    </row>
    <row r="79" spans="1:8" ht="58.5" customHeight="1">
      <c r="A79" s="335" t="s">
        <v>20</v>
      </c>
      <c r="B79" s="331" t="s">
        <v>4</v>
      </c>
      <c r="C79" s="329" t="s">
        <v>102</v>
      </c>
      <c r="D79" s="330"/>
      <c r="E79" s="331" t="s">
        <v>357</v>
      </c>
      <c r="F79" s="331" t="s">
        <v>358</v>
      </c>
      <c r="G79" s="331" t="s">
        <v>92</v>
      </c>
      <c r="H79" s="333" t="s">
        <v>92</v>
      </c>
    </row>
    <row r="80" spans="1:8" ht="45" customHeight="1">
      <c r="A80" s="336"/>
      <c r="B80" s="332"/>
      <c r="C80" s="249" t="s">
        <v>305</v>
      </c>
      <c r="D80" s="256" t="s">
        <v>306</v>
      </c>
      <c r="E80" s="332"/>
      <c r="F80" s="332"/>
      <c r="G80" s="332"/>
      <c r="H80" s="334"/>
    </row>
    <row r="81" spans="1:9" s="61" customFormat="1" ht="83.25" customHeight="1">
      <c r="A81" s="80" t="s">
        <v>228</v>
      </c>
      <c r="B81" s="81" t="s">
        <v>26</v>
      </c>
      <c r="C81" s="47">
        <f>SUM(C82:C84)</f>
        <v>727</v>
      </c>
      <c r="D81" s="47">
        <f t="shared" ref="D81:F81" si="35">SUM(D82:D84)</f>
        <v>740</v>
      </c>
      <c r="E81" s="82">
        <f t="shared" ref="E81" si="36">SUM(E82:E84)</f>
        <v>729</v>
      </c>
      <c r="F81" s="47">
        <f t="shared" si="35"/>
        <v>740</v>
      </c>
      <c r="G81" s="82">
        <f>F81-E81</f>
        <v>11</v>
      </c>
      <c r="H81" s="71">
        <f>F81/E81*100</f>
        <v>101.50891632373114</v>
      </c>
      <c r="I81" s="53"/>
    </row>
    <row r="82" spans="1:9" ht="21.95" customHeight="1">
      <c r="A82" s="74" t="s">
        <v>18</v>
      </c>
      <c r="B82" s="108" t="s">
        <v>27</v>
      </c>
      <c r="C82" s="21">
        <v>1</v>
      </c>
      <c r="D82" s="21">
        <v>1</v>
      </c>
      <c r="E82" s="299">
        <v>1</v>
      </c>
      <c r="F82" s="21">
        <v>1</v>
      </c>
      <c r="G82" s="22">
        <f t="shared" ref="G82:G96" si="37">F82-E82</f>
        <v>0</v>
      </c>
      <c r="H82" s="22">
        <f t="shared" ref="H82:H96" si="38">F82/E82*100</f>
        <v>100</v>
      </c>
    </row>
    <row r="83" spans="1:9" ht="21.95" customHeight="1">
      <c r="A83" s="74" t="s">
        <v>21</v>
      </c>
      <c r="B83" s="108" t="s">
        <v>28</v>
      </c>
      <c r="C83" s="21">
        <v>27</v>
      </c>
      <c r="D83" s="21">
        <v>27</v>
      </c>
      <c r="E83" s="299">
        <v>27</v>
      </c>
      <c r="F83" s="21">
        <v>27</v>
      </c>
      <c r="G83" s="22">
        <f t="shared" si="37"/>
        <v>0</v>
      </c>
      <c r="H83" s="22">
        <f t="shared" si="38"/>
        <v>100</v>
      </c>
    </row>
    <row r="84" spans="1:9" ht="21.95" customHeight="1">
      <c r="A84" s="74" t="s">
        <v>19</v>
      </c>
      <c r="B84" s="108" t="s">
        <v>29</v>
      </c>
      <c r="C84" s="21">
        <v>699</v>
      </c>
      <c r="D84" s="21">
        <v>712</v>
      </c>
      <c r="E84" s="299">
        <v>701</v>
      </c>
      <c r="F84" s="21">
        <v>712</v>
      </c>
      <c r="G84" s="22">
        <f t="shared" si="37"/>
        <v>11</v>
      </c>
      <c r="H84" s="22">
        <f t="shared" si="38"/>
        <v>101.56918687589157</v>
      </c>
    </row>
    <row r="85" spans="1:9" ht="21.95" customHeight="1">
      <c r="A85" s="69" t="s">
        <v>65</v>
      </c>
      <c r="B85" s="70" t="s">
        <v>30</v>
      </c>
      <c r="C85" s="71">
        <f>SUM(C86:C88)</f>
        <v>72148.099999999991</v>
      </c>
      <c r="D85" s="71">
        <f>SUM(D86:D88)</f>
        <v>82334.5</v>
      </c>
      <c r="E85" s="71">
        <f t="shared" ref="E85" si="39">SUM(E86:E88)</f>
        <v>76026.899999999994</v>
      </c>
      <c r="F85" s="71">
        <f>SUM(F86:F88)</f>
        <v>82334.5</v>
      </c>
      <c r="G85" s="46">
        <f t="shared" si="37"/>
        <v>6307.6000000000058</v>
      </c>
      <c r="H85" s="71">
        <f t="shared" si="38"/>
        <v>108.29653714672045</v>
      </c>
    </row>
    <row r="86" spans="1:9" ht="21.95" customHeight="1">
      <c r="A86" s="74" t="s">
        <v>18</v>
      </c>
      <c r="B86" s="108">
        <v>8011</v>
      </c>
      <c r="C86" s="22">
        <v>386.1</v>
      </c>
      <c r="D86" s="22">
        <v>320.60000000000002</v>
      </c>
      <c r="E86" s="21">
        <v>350.9</v>
      </c>
      <c r="F86" s="22">
        <v>320.60000000000002</v>
      </c>
      <c r="G86" s="22">
        <f t="shared" si="37"/>
        <v>-30.299999999999955</v>
      </c>
      <c r="H86" s="22">
        <f t="shared" si="38"/>
        <v>91.365061271017396</v>
      </c>
      <c r="I86" s="56"/>
    </row>
    <row r="87" spans="1:9" ht="21.95" customHeight="1">
      <c r="A87" s="74" t="s">
        <v>21</v>
      </c>
      <c r="B87" s="108">
        <v>8012</v>
      </c>
      <c r="C87" s="21">
        <v>3916.1</v>
      </c>
      <c r="D87" s="21">
        <v>5399.1</v>
      </c>
      <c r="E87" s="21">
        <v>4399</v>
      </c>
      <c r="F87" s="21">
        <v>5399.1</v>
      </c>
      <c r="G87" s="22">
        <f t="shared" si="37"/>
        <v>1000.1000000000004</v>
      </c>
      <c r="H87" s="22">
        <f t="shared" si="38"/>
        <v>122.73471243464425</v>
      </c>
    </row>
    <row r="88" spans="1:9" ht="21.95" customHeight="1">
      <c r="A88" s="74" t="s">
        <v>19</v>
      </c>
      <c r="B88" s="108">
        <v>8013</v>
      </c>
      <c r="C88" s="21">
        <v>67845.899999999994</v>
      </c>
      <c r="D88" s="21">
        <v>76614.8</v>
      </c>
      <c r="E88" s="21">
        <v>71277</v>
      </c>
      <c r="F88" s="21">
        <v>76614.8</v>
      </c>
      <c r="G88" s="22">
        <f t="shared" si="37"/>
        <v>5337.8000000000029</v>
      </c>
      <c r="H88" s="22">
        <f t="shared" si="38"/>
        <v>107.48881125748839</v>
      </c>
    </row>
    <row r="89" spans="1:9" ht="21.95" customHeight="1">
      <c r="A89" s="69" t="s">
        <v>1</v>
      </c>
      <c r="B89" s="70">
        <v>8020</v>
      </c>
      <c r="C89" s="46">
        <f t="shared" ref="C89" si="40">SUM(C90:C92)</f>
        <v>72148.099999999991</v>
      </c>
      <c r="D89" s="46">
        <f t="shared" ref="D89:F89" si="41">SUM(D90:D92)</f>
        <v>82334.5</v>
      </c>
      <c r="E89" s="46">
        <f t="shared" ref="E89" si="42">SUM(E90:E92)</f>
        <v>76026.899999999994</v>
      </c>
      <c r="F89" s="46">
        <f t="shared" si="41"/>
        <v>82334.5</v>
      </c>
      <c r="G89" s="71">
        <f t="shared" si="37"/>
        <v>6307.6000000000058</v>
      </c>
      <c r="H89" s="71">
        <f t="shared" si="38"/>
        <v>108.29653714672045</v>
      </c>
    </row>
    <row r="90" spans="1:9" ht="21.95" customHeight="1">
      <c r="A90" s="74" t="s">
        <v>18</v>
      </c>
      <c r="B90" s="108">
        <v>8021</v>
      </c>
      <c r="C90" s="22">
        <v>386.1</v>
      </c>
      <c r="D90" s="22">
        <v>320.60000000000002</v>
      </c>
      <c r="E90" s="21">
        <v>350.9</v>
      </c>
      <c r="F90" s="22">
        <v>320.60000000000002</v>
      </c>
      <c r="G90" s="22">
        <f t="shared" si="37"/>
        <v>-30.299999999999955</v>
      </c>
      <c r="H90" s="22">
        <f t="shared" si="38"/>
        <v>91.365061271017396</v>
      </c>
    </row>
    <row r="91" spans="1:9" ht="21.95" customHeight="1">
      <c r="A91" s="74" t="s">
        <v>21</v>
      </c>
      <c r="B91" s="108">
        <v>8022</v>
      </c>
      <c r="C91" s="21">
        <v>3916.1</v>
      </c>
      <c r="D91" s="21">
        <v>5399.1</v>
      </c>
      <c r="E91" s="21">
        <v>4399</v>
      </c>
      <c r="F91" s="21">
        <v>5399.1</v>
      </c>
      <c r="G91" s="22">
        <f t="shared" si="37"/>
        <v>1000.1000000000004</v>
      </c>
      <c r="H91" s="22">
        <f t="shared" si="38"/>
        <v>122.73471243464425</v>
      </c>
    </row>
    <row r="92" spans="1:9" ht="21.95" customHeight="1">
      <c r="A92" s="74" t="s">
        <v>19</v>
      </c>
      <c r="B92" s="108">
        <v>8023</v>
      </c>
      <c r="C92" s="21">
        <v>67845.899999999994</v>
      </c>
      <c r="D92" s="21">
        <v>76614.8</v>
      </c>
      <c r="E92" s="21">
        <v>71277</v>
      </c>
      <c r="F92" s="21">
        <v>76614.8</v>
      </c>
      <c r="G92" s="22">
        <f t="shared" si="37"/>
        <v>5337.8000000000029</v>
      </c>
      <c r="H92" s="22">
        <f t="shared" si="38"/>
        <v>107.48881125748839</v>
      </c>
    </row>
    <row r="93" spans="1:9" s="61" customFormat="1" ht="39.75" customHeight="1">
      <c r="A93" s="80" t="s">
        <v>43</v>
      </c>
      <c r="B93" s="81" t="s">
        <v>66</v>
      </c>
      <c r="C93" s="83">
        <f t="shared" ref="C93:D96" si="43">(C89/C81)/6*1000</f>
        <v>16540.142136634568</v>
      </c>
      <c r="D93" s="83">
        <f t="shared" si="43"/>
        <v>18543.806306306305</v>
      </c>
      <c r="E93" s="83">
        <f t="shared" ref="E93:F96" si="44">(E89/E81)/6*1000</f>
        <v>17381.550068587105</v>
      </c>
      <c r="F93" s="83">
        <f t="shared" si="44"/>
        <v>18543.806306306305</v>
      </c>
      <c r="G93" s="82">
        <f t="shared" si="37"/>
        <v>1162.2562377192007</v>
      </c>
      <c r="H93" s="82">
        <f t="shared" si="38"/>
        <v>106.68672375670162</v>
      </c>
    </row>
    <row r="94" spans="1:9" ht="21.95" customHeight="1">
      <c r="A94" s="74" t="s">
        <v>18</v>
      </c>
      <c r="B94" s="108">
        <v>8031</v>
      </c>
      <c r="C94" s="52">
        <f t="shared" si="43"/>
        <v>64350.000000000007</v>
      </c>
      <c r="D94" s="52">
        <f t="shared" si="43"/>
        <v>53433.333333333336</v>
      </c>
      <c r="E94" s="52">
        <f t="shared" si="44"/>
        <v>58483.333333333328</v>
      </c>
      <c r="F94" s="52">
        <f t="shared" si="44"/>
        <v>53433.333333333336</v>
      </c>
      <c r="G94" s="84">
        <f t="shared" si="37"/>
        <v>-5049.9999999999927</v>
      </c>
      <c r="H94" s="84">
        <f t="shared" si="38"/>
        <v>91.365061271017396</v>
      </c>
    </row>
    <row r="95" spans="1:9" ht="21.95" customHeight="1">
      <c r="A95" s="74" t="s">
        <v>21</v>
      </c>
      <c r="B95" s="108">
        <v>8032</v>
      </c>
      <c r="C95" s="52">
        <f t="shared" si="43"/>
        <v>24173.456790123455</v>
      </c>
      <c r="D95" s="52">
        <f t="shared" si="43"/>
        <v>33327.777777777774</v>
      </c>
      <c r="E95" s="52">
        <f t="shared" si="44"/>
        <v>27154.320987654319</v>
      </c>
      <c r="F95" s="52">
        <f t="shared" si="44"/>
        <v>33327.777777777774</v>
      </c>
      <c r="G95" s="84">
        <f t="shared" si="37"/>
        <v>6173.456790123455</v>
      </c>
      <c r="H95" s="84">
        <f t="shared" si="38"/>
        <v>122.73471243464422</v>
      </c>
    </row>
    <row r="96" spans="1:9" ht="21.95" customHeight="1">
      <c r="A96" s="74" t="s">
        <v>19</v>
      </c>
      <c r="B96" s="108">
        <v>8033</v>
      </c>
      <c r="C96" s="52">
        <f t="shared" si="43"/>
        <v>16176.895565092987</v>
      </c>
      <c r="D96" s="52">
        <f t="shared" si="43"/>
        <v>17934.176029962546</v>
      </c>
      <c r="E96" s="52">
        <f t="shared" si="44"/>
        <v>16946.504992867332</v>
      </c>
      <c r="F96" s="52">
        <f t="shared" si="44"/>
        <v>17934.176029962546</v>
      </c>
      <c r="G96" s="84">
        <f t="shared" si="37"/>
        <v>987.67103709521325</v>
      </c>
      <c r="H96" s="84">
        <f t="shared" si="38"/>
        <v>105.8281695105328</v>
      </c>
    </row>
    <row r="97" spans="1:8" s="61" customFormat="1" ht="126" customHeight="1">
      <c r="A97" s="85" t="s">
        <v>218</v>
      </c>
      <c r="B97" s="86"/>
      <c r="C97" s="300"/>
      <c r="D97" s="337"/>
      <c r="E97" s="337"/>
      <c r="F97" s="87"/>
      <c r="G97" s="325" t="s">
        <v>251</v>
      </c>
      <c r="H97" s="325"/>
    </row>
    <row r="98" spans="1:8" s="61" customFormat="1" ht="29.25" customHeight="1">
      <c r="A98" s="107" t="s">
        <v>8</v>
      </c>
      <c r="B98" s="88"/>
      <c r="D98" s="338" t="s">
        <v>9</v>
      </c>
      <c r="E98" s="338"/>
      <c r="F98" s="89"/>
      <c r="G98" s="324" t="s">
        <v>13</v>
      </c>
      <c r="H98" s="324"/>
    </row>
    <row r="99" spans="1:8" s="61" customFormat="1">
      <c r="A99" s="4"/>
      <c r="E99" s="1"/>
      <c r="F99" s="1"/>
      <c r="G99" s="1"/>
      <c r="H99" s="1"/>
    </row>
    <row r="100" spans="1:8" s="61" customFormat="1">
      <c r="A100" s="4"/>
      <c r="E100" s="1"/>
      <c r="F100" s="1"/>
      <c r="G100" s="1"/>
      <c r="H100" s="1"/>
    </row>
    <row r="101" spans="1:8" s="61" customFormat="1">
      <c r="A101" s="4"/>
      <c r="E101" s="1"/>
      <c r="F101" s="1"/>
      <c r="G101" s="1"/>
      <c r="H101" s="1"/>
    </row>
    <row r="102" spans="1:8" s="61" customFormat="1">
      <c r="A102" s="4"/>
      <c r="E102" s="1"/>
      <c r="F102" s="1"/>
      <c r="G102" s="1"/>
      <c r="H102" s="1"/>
    </row>
    <row r="103" spans="1:8" s="61" customFormat="1">
      <c r="A103" s="4"/>
      <c r="E103" s="1"/>
      <c r="F103" s="1"/>
      <c r="G103" s="1"/>
      <c r="H103" s="1"/>
    </row>
    <row r="104" spans="1:8" s="61" customFormat="1">
      <c r="A104" s="4"/>
      <c r="E104" s="1"/>
      <c r="F104" s="1"/>
      <c r="G104" s="1"/>
      <c r="H104" s="1"/>
    </row>
    <row r="105" spans="1:8" s="61" customFormat="1">
      <c r="A105" s="4"/>
      <c r="E105" s="1"/>
      <c r="F105" s="1"/>
      <c r="G105" s="1"/>
      <c r="H105" s="1"/>
    </row>
    <row r="106" spans="1:8" s="61" customFormat="1">
      <c r="A106" s="4"/>
      <c r="E106" s="1"/>
      <c r="F106" s="1"/>
      <c r="G106" s="1"/>
      <c r="H106" s="1"/>
    </row>
    <row r="107" spans="1:8" s="61" customFormat="1">
      <c r="A107" s="4"/>
      <c r="E107" s="1"/>
      <c r="F107" s="1"/>
      <c r="G107" s="1"/>
      <c r="H107" s="1"/>
    </row>
    <row r="108" spans="1:8" s="61" customFormat="1">
      <c r="A108" s="4"/>
      <c r="E108" s="1"/>
      <c r="F108" s="1"/>
      <c r="G108" s="1"/>
      <c r="H108" s="1"/>
    </row>
    <row r="109" spans="1:8" s="61" customFormat="1">
      <c r="A109" s="4"/>
      <c r="E109" s="1"/>
      <c r="F109" s="1"/>
      <c r="G109" s="1"/>
      <c r="H109" s="1"/>
    </row>
    <row r="110" spans="1:8" s="61" customFormat="1">
      <c r="A110" s="4"/>
      <c r="E110" s="1"/>
      <c r="F110" s="1"/>
      <c r="G110" s="1"/>
      <c r="H110" s="1"/>
    </row>
    <row r="111" spans="1:8" s="61" customFormat="1">
      <c r="A111" s="4"/>
      <c r="E111" s="1"/>
      <c r="F111" s="1"/>
      <c r="G111" s="1"/>
      <c r="H111" s="1"/>
    </row>
    <row r="112" spans="1:8" s="61" customFormat="1">
      <c r="A112" s="4"/>
      <c r="E112" s="1"/>
      <c r="F112" s="1"/>
      <c r="G112" s="1"/>
      <c r="H112" s="1"/>
    </row>
    <row r="113" spans="1:8" s="61" customFormat="1">
      <c r="A113" s="4"/>
      <c r="E113" s="1"/>
      <c r="F113" s="1"/>
      <c r="G113" s="1"/>
      <c r="H113" s="1"/>
    </row>
    <row r="114" spans="1:8" s="61" customFormat="1">
      <c r="A114" s="4"/>
      <c r="E114" s="1"/>
      <c r="F114" s="1"/>
      <c r="G114" s="1"/>
      <c r="H114" s="1"/>
    </row>
    <row r="115" spans="1:8" s="61" customFormat="1">
      <c r="A115" s="4"/>
      <c r="E115" s="1"/>
      <c r="F115" s="1"/>
      <c r="G115" s="1"/>
      <c r="H115" s="1"/>
    </row>
    <row r="116" spans="1:8" s="61" customFormat="1">
      <c r="A116" s="4"/>
      <c r="E116" s="1"/>
      <c r="F116" s="1"/>
      <c r="G116" s="1"/>
      <c r="H116" s="1"/>
    </row>
    <row r="117" spans="1:8" s="61" customFormat="1">
      <c r="A117" s="4"/>
      <c r="E117" s="1"/>
      <c r="F117" s="1"/>
      <c r="G117" s="1"/>
      <c r="H117" s="1"/>
    </row>
    <row r="118" spans="1:8" s="61" customFormat="1">
      <c r="A118" s="4"/>
      <c r="E118" s="1"/>
      <c r="F118" s="1"/>
      <c r="G118" s="1"/>
      <c r="H118" s="1"/>
    </row>
    <row r="119" spans="1:8" s="61" customFormat="1">
      <c r="A119" s="4"/>
      <c r="E119" s="1"/>
      <c r="F119" s="1"/>
      <c r="G119" s="1"/>
      <c r="H119" s="1"/>
    </row>
    <row r="120" spans="1:8" s="61" customFormat="1">
      <c r="A120" s="4"/>
      <c r="E120" s="1"/>
      <c r="F120" s="1"/>
      <c r="G120" s="1"/>
      <c r="H120" s="1"/>
    </row>
    <row r="121" spans="1:8" s="61" customFormat="1">
      <c r="A121" s="4"/>
      <c r="E121" s="1"/>
      <c r="F121" s="1"/>
      <c r="G121" s="1"/>
      <c r="H121" s="1"/>
    </row>
    <row r="122" spans="1:8" s="61" customFormat="1">
      <c r="A122" s="4"/>
      <c r="E122" s="1"/>
      <c r="F122" s="1"/>
      <c r="G122" s="1"/>
      <c r="H122" s="1"/>
    </row>
    <row r="123" spans="1:8" s="61" customFormat="1">
      <c r="A123" s="4"/>
      <c r="E123" s="1"/>
      <c r="F123" s="1"/>
      <c r="G123" s="1"/>
      <c r="H123" s="1"/>
    </row>
    <row r="124" spans="1:8" s="61" customFormat="1">
      <c r="A124" s="4"/>
      <c r="E124" s="1"/>
      <c r="F124" s="1"/>
      <c r="G124" s="1"/>
      <c r="H124" s="1"/>
    </row>
    <row r="125" spans="1:8" s="61" customFormat="1">
      <c r="A125" s="4"/>
      <c r="E125" s="1"/>
      <c r="F125" s="1"/>
      <c r="G125" s="1"/>
      <c r="H125" s="1"/>
    </row>
    <row r="126" spans="1:8" s="61" customFormat="1">
      <c r="A126" s="4"/>
      <c r="E126" s="1"/>
      <c r="F126" s="1"/>
      <c r="G126" s="1"/>
      <c r="H126" s="1"/>
    </row>
    <row r="127" spans="1:8" s="61" customFormat="1">
      <c r="A127" s="4"/>
      <c r="E127" s="1"/>
      <c r="F127" s="1"/>
      <c r="G127" s="1"/>
      <c r="H127" s="1"/>
    </row>
    <row r="128" spans="1:8" s="61" customFormat="1">
      <c r="A128" s="4"/>
      <c r="E128" s="1"/>
      <c r="F128" s="1"/>
      <c r="G128" s="1"/>
      <c r="H128" s="1"/>
    </row>
    <row r="129" spans="1:8" s="61" customFormat="1">
      <c r="A129" s="4"/>
      <c r="E129" s="1"/>
      <c r="F129" s="1"/>
      <c r="G129" s="1"/>
      <c r="H129" s="1"/>
    </row>
    <row r="130" spans="1:8" s="61" customFormat="1">
      <c r="A130" s="4"/>
      <c r="E130" s="1"/>
      <c r="F130" s="1"/>
      <c r="G130" s="1"/>
      <c r="H130" s="1"/>
    </row>
    <row r="131" spans="1:8" s="61" customFormat="1">
      <c r="A131" s="4"/>
      <c r="E131" s="1"/>
      <c r="F131" s="1"/>
      <c r="G131" s="1"/>
      <c r="H131" s="1"/>
    </row>
    <row r="132" spans="1:8" s="61" customFormat="1">
      <c r="A132" s="4"/>
      <c r="E132" s="1"/>
      <c r="F132" s="1"/>
      <c r="G132" s="1"/>
      <c r="H132" s="1"/>
    </row>
    <row r="133" spans="1:8" s="61" customFormat="1">
      <c r="A133" s="4"/>
      <c r="E133" s="1"/>
      <c r="F133" s="1"/>
      <c r="G133" s="1"/>
      <c r="H133" s="1"/>
    </row>
    <row r="134" spans="1:8" s="61" customFormat="1">
      <c r="A134" s="4"/>
      <c r="E134" s="1"/>
      <c r="F134" s="1"/>
      <c r="G134" s="1"/>
      <c r="H134" s="1"/>
    </row>
    <row r="135" spans="1:8" s="61" customFormat="1">
      <c r="A135" s="4"/>
      <c r="E135" s="1"/>
      <c r="F135" s="1"/>
      <c r="G135" s="1"/>
      <c r="H135" s="1"/>
    </row>
    <row r="136" spans="1:8" s="61" customFormat="1">
      <c r="A136" s="4"/>
      <c r="E136" s="1"/>
      <c r="F136" s="1"/>
      <c r="G136" s="1"/>
      <c r="H136" s="1"/>
    </row>
    <row r="137" spans="1:8" s="61" customFormat="1">
      <c r="A137" s="4"/>
      <c r="E137" s="1"/>
      <c r="F137" s="1"/>
      <c r="G137" s="1"/>
      <c r="H137" s="1"/>
    </row>
    <row r="138" spans="1:8" s="61" customFormat="1">
      <c r="A138" s="4"/>
      <c r="E138" s="1"/>
      <c r="F138" s="1"/>
      <c r="G138" s="1"/>
      <c r="H138" s="1"/>
    </row>
    <row r="139" spans="1:8" s="61" customFormat="1">
      <c r="A139" s="4"/>
      <c r="E139" s="1"/>
      <c r="F139" s="1"/>
      <c r="G139" s="1"/>
      <c r="H139" s="1"/>
    </row>
    <row r="140" spans="1:8" s="61" customFormat="1">
      <c r="A140" s="4"/>
      <c r="E140" s="1"/>
      <c r="F140" s="1"/>
      <c r="G140" s="1"/>
      <c r="H140" s="1"/>
    </row>
    <row r="141" spans="1:8" s="61" customFormat="1">
      <c r="A141" s="4"/>
      <c r="E141" s="1"/>
      <c r="F141" s="1"/>
      <c r="G141" s="1"/>
      <c r="H141" s="1"/>
    </row>
    <row r="142" spans="1:8" s="61" customFormat="1">
      <c r="A142" s="4"/>
      <c r="E142" s="1"/>
      <c r="F142" s="1"/>
      <c r="G142" s="1"/>
      <c r="H142" s="1"/>
    </row>
    <row r="143" spans="1:8" s="61" customFormat="1">
      <c r="A143" s="4"/>
      <c r="E143" s="1"/>
      <c r="F143" s="1"/>
      <c r="G143" s="1"/>
      <c r="H143" s="1"/>
    </row>
    <row r="144" spans="1:8" s="61" customFormat="1">
      <c r="A144" s="4"/>
      <c r="E144" s="1"/>
      <c r="F144" s="1"/>
      <c r="G144" s="1"/>
      <c r="H144" s="1"/>
    </row>
    <row r="145" spans="1:8" s="61" customFormat="1">
      <c r="A145" s="4"/>
      <c r="E145" s="1"/>
      <c r="F145" s="1"/>
      <c r="G145" s="1"/>
      <c r="H145" s="1"/>
    </row>
    <row r="146" spans="1:8" s="61" customFormat="1">
      <c r="A146" s="4"/>
      <c r="E146" s="1"/>
      <c r="F146" s="1"/>
      <c r="G146" s="1"/>
      <c r="H146" s="1"/>
    </row>
    <row r="147" spans="1:8" s="61" customFormat="1">
      <c r="A147" s="4"/>
      <c r="E147" s="1"/>
      <c r="F147" s="1"/>
      <c r="G147" s="1"/>
      <c r="H147" s="1"/>
    </row>
    <row r="148" spans="1:8" s="61" customFormat="1">
      <c r="A148" s="4"/>
      <c r="E148" s="1"/>
      <c r="F148" s="1"/>
      <c r="G148" s="1"/>
      <c r="H148" s="1"/>
    </row>
    <row r="149" spans="1:8" s="61" customFormat="1">
      <c r="A149" s="4"/>
      <c r="E149" s="1"/>
      <c r="F149" s="1"/>
      <c r="G149" s="1"/>
      <c r="H149" s="1"/>
    </row>
    <row r="150" spans="1:8" s="61" customFormat="1">
      <c r="A150" s="4"/>
      <c r="E150" s="1"/>
      <c r="F150" s="1"/>
      <c r="G150" s="1"/>
      <c r="H150" s="1"/>
    </row>
    <row r="151" spans="1:8" s="61" customFormat="1">
      <c r="A151" s="4"/>
      <c r="E151" s="1"/>
      <c r="F151" s="1"/>
      <c r="G151" s="1"/>
      <c r="H151" s="1"/>
    </row>
    <row r="152" spans="1:8" s="61" customFormat="1">
      <c r="A152" s="4"/>
      <c r="E152" s="1"/>
      <c r="F152" s="1"/>
      <c r="G152" s="1"/>
      <c r="H152" s="1"/>
    </row>
    <row r="153" spans="1:8" s="61" customFormat="1">
      <c r="A153" s="4"/>
      <c r="E153" s="1"/>
      <c r="F153" s="1"/>
      <c r="G153" s="1"/>
      <c r="H153" s="1"/>
    </row>
    <row r="154" spans="1:8" s="61" customFormat="1">
      <c r="A154" s="4"/>
      <c r="E154" s="1"/>
      <c r="F154" s="1"/>
      <c r="G154" s="1"/>
      <c r="H154" s="1"/>
    </row>
    <row r="155" spans="1:8" s="61" customFormat="1">
      <c r="A155" s="4"/>
      <c r="E155" s="1"/>
      <c r="F155" s="1"/>
      <c r="G155" s="1"/>
      <c r="H155" s="1"/>
    </row>
    <row r="156" spans="1:8" s="61" customFormat="1">
      <c r="A156" s="4"/>
      <c r="E156" s="1"/>
      <c r="F156" s="1"/>
      <c r="G156" s="1"/>
      <c r="H156" s="1"/>
    </row>
    <row r="157" spans="1:8" s="61" customFormat="1">
      <c r="A157" s="4"/>
      <c r="E157" s="1"/>
      <c r="F157" s="1"/>
      <c r="G157" s="1"/>
      <c r="H157" s="1"/>
    </row>
    <row r="158" spans="1:8" s="61" customFormat="1">
      <c r="A158" s="4"/>
      <c r="E158" s="1"/>
      <c r="F158" s="1"/>
      <c r="G158" s="1"/>
      <c r="H158" s="1"/>
    </row>
    <row r="159" spans="1:8" s="61" customFormat="1">
      <c r="A159" s="4"/>
      <c r="E159" s="1"/>
      <c r="F159" s="1"/>
      <c r="G159" s="1"/>
      <c r="H159" s="1"/>
    </row>
    <row r="160" spans="1:8" s="61" customFormat="1">
      <c r="A160" s="4"/>
      <c r="E160" s="1"/>
      <c r="F160" s="1"/>
      <c r="G160" s="1"/>
      <c r="H160" s="1"/>
    </row>
    <row r="161" spans="1:8" s="61" customFormat="1">
      <c r="A161" s="4"/>
      <c r="E161" s="1"/>
      <c r="F161" s="1"/>
      <c r="G161" s="1"/>
      <c r="H161" s="1"/>
    </row>
    <row r="162" spans="1:8" s="61" customFormat="1">
      <c r="A162" s="4"/>
      <c r="E162" s="1"/>
      <c r="F162" s="1"/>
      <c r="G162" s="1"/>
      <c r="H162" s="1"/>
    </row>
    <row r="163" spans="1:8" s="61" customFormat="1">
      <c r="A163" s="4"/>
      <c r="E163" s="1"/>
      <c r="F163" s="1"/>
      <c r="G163" s="1"/>
      <c r="H163" s="1"/>
    </row>
    <row r="164" spans="1:8" s="61" customFormat="1">
      <c r="A164" s="4"/>
      <c r="E164" s="1"/>
      <c r="F164" s="1"/>
      <c r="G164" s="1"/>
      <c r="H164" s="1"/>
    </row>
    <row r="165" spans="1:8" s="61" customFormat="1">
      <c r="A165" s="4"/>
      <c r="E165" s="1"/>
      <c r="F165" s="1"/>
      <c r="G165" s="1"/>
      <c r="H165" s="1"/>
    </row>
    <row r="166" spans="1:8" s="61" customFormat="1">
      <c r="A166" s="4"/>
      <c r="E166" s="1"/>
      <c r="F166" s="1"/>
      <c r="G166" s="1"/>
      <c r="H166" s="1"/>
    </row>
    <row r="167" spans="1:8" s="61" customFormat="1">
      <c r="A167" s="4"/>
      <c r="E167" s="1"/>
      <c r="F167" s="1"/>
      <c r="G167" s="1"/>
      <c r="H167" s="1"/>
    </row>
    <row r="168" spans="1:8" s="61" customFormat="1">
      <c r="A168" s="4"/>
      <c r="E168" s="1"/>
      <c r="F168" s="1"/>
      <c r="G168" s="1"/>
      <c r="H168" s="1"/>
    </row>
    <row r="169" spans="1:8" s="61" customFormat="1">
      <c r="A169" s="4"/>
      <c r="E169" s="1"/>
      <c r="F169" s="1"/>
      <c r="G169" s="1"/>
      <c r="H169" s="1"/>
    </row>
    <row r="170" spans="1:8" s="61" customFormat="1">
      <c r="A170" s="4"/>
      <c r="E170" s="1"/>
      <c r="F170" s="1"/>
      <c r="G170" s="1"/>
      <c r="H170" s="1"/>
    </row>
    <row r="171" spans="1:8" s="61" customFormat="1">
      <c r="A171" s="4"/>
      <c r="E171" s="1"/>
      <c r="F171" s="1"/>
      <c r="G171" s="1"/>
      <c r="H171" s="1"/>
    </row>
    <row r="172" spans="1:8" s="61" customFormat="1">
      <c r="A172" s="4"/>
      <c r="E172" s="1"/>
      <c r="F172" s="1"/>
      <c r="G172" s="1"/>
      <c r="H172" s="1"/>
    </row>
    <row r="173" spans="1:8" s="61" customFormat="1">
      <c r="A173" s="4"/>
      <c r="E173" s="1"/>
      <c r="F173" s="1"/>
      <c r="G173" s="1"/>
      <c r="H173" s="1"/>
    </row>
    <row r="174" spans="1:8" s="61" customFormat="1">
      <c r="A174" s="4"/>
      <c r="E174" s="1"/>
      <c r="F174" s="1"/>
      <c r="G174" s="1"/>
      <c r="H174" s="1"/>
    </row>
    <row r="175" spans="1:8" s="61" customFormat="1">
      <c r="A175" s="4"/>
      <c r="E175" s="1"/>
      <c r="F175" s="1"/>
      <c r="G175" s="1"/>
      <c r="H175" s="1"/>
    </row>
    <row r="176" spans="1:8" s="61" customFormat="1">
      <c r="A176" s="4"/>
      <c r="E176" s="1"/>
      <c r="F176" s="1"/>
      <c r="G176" s="1"/>
      <c r="H176" s="1"/>
    </row>
    <row r="177" spans="1:8" s="61" customFormat="1">
      <c r="A177" s="4"/>
      <c r="E177" s="1"/>
      <c r="F177" s="1"/>
      <c r="G177" s="1"/>
      <c r="H177" s="1"/>
    </row>
    <row r="178" spans="1:8" s="61" customFormat="1">
      <c r="A178" s="4"/>
      <c r="E178" s="1"/>
      <c r="F178" s="1"/>
      <c r="G178" s="1"/>
      <c r="H178" s="1"/>
    </row>
    <row r="179" spans="1:8" s="61" customFormat="1">
      <c r="A179" s="4"/>
      <c r="E179" s="1"/>
      <c r="F179" s="1"/>
      <c r="G179" s="1"/>
      <c r="H179" s="1"/>
    </row>
    <row r="180" spans="1:8" s="61" customFormat="1">
      <c r="A180" s="4"/>
      <c r="E180" s="1"/>
      <c r="F180" s="1"/>
      <c r="G180" s="1"/>
      <c r="H180" s="1"/>
    </row>
    <row r="181" spans="1:8" s="61" customFormat="1">
      <c r="A181" s="4"/>
      <c r="E181" s="1"/>
      <c r="F181" s="1"/>
      <c r="G181" s="1"/>
      <c r="H181" s="1"/>
    </row>
    <row r="182" spans="1:8" s="61" customFormat="1">
      <c r="A182" s="4"/>
      <c r="E182" s="1"/>
      <c r="F182" s="1"/>
      <c r="G182" s="1"/>
      <c r="H182" s="1"/>
    </row>
    <row r="183" spans="1:8" s="61" customFormat="1">
      <c r="A183" s="4"/>
      <c r="E183" s="1"/>
      <c r="F183" s="1"/>
      <c r="G183" s="1"/>
      <c r="H183" s="1"/>
    </row>
    <row r="184" spans="1:8" s="61" customFormat="1">
      <c r="A184" s="4"/>
      <c r="E184" s="1"/>
      <c r="F184" s="1"/>
      <c r="G184" s="1"/>
      <c r="H184" s="1"/>
    </row>
    <row r="185" spans="1:8" s="61" customFormat="1">
      <c r="A185" s="4"/>
      <c r="E185" s="1"/>
      <c r="F185" s="1"/>
      <c r="G185" s="1"/>
      <c r="H185" s="1"/>
    </row>
    <row r="186" spans="1:8" s="61" customFormat="1">
      <c r="A186" s="4"/>
      <c r="E186" s="1"/>
      <c r="F186" s="1"/>
      <c r="G186" s="1"/>
      <c r="H186" s="1"/>
    </row>
    <row r="187" spans="1:8" s="61" customFormat="1">
      <c r="A187" s="4"/>
      <c r="E187" s="1"/>
      <c r="F187" s="1"/>
      <c r="G187" s="1"/>
      <c r="H187" s="1"/>
    </row>
    <row r="188" spans="1:8" s="61" customFormat="1">
      <c r="A188" s="4"/>
      <c r="E188" s="1"/>
      <c r="F188" s="1"/>
      <c r="G188" s="1"/>
      <c r="H188" s="1"/>
    </row>
    <row r="189" spans="1:8" s="61" customFormat="1">
      <c r="A189" s="4"/>
      <c r="E189" s="1"/>
      <c r="F189" s="1"/>
      <c r="G189" s="1"/>
      <c r="H189" s="1"/>
    </row>
    <row r="190" spans="1:8" s="61" customFormat="1">
      <c r="A190" s="4"/>
      <c r="E190" s="1"/>
      <c r="F190" s="1"/>
      <c r="G190" s="1"/>
      <c r="H190" s="1"/>
    </row>
    <row r="191" spans="1:8" s="61" customFormat="1">
      <c r="A191" s="4"/>
      <c r="E191" s="1"/>
      <c r="F191" s="1"/>
      <c r="G191" s="1"/>
      <c r="H191" s="1"/>
    </row>
    <row r="192" spans="1:8" s="61" customFormat="1">
      <c r="A192" s="4"/>
      <c r="E192" s="1"/>
      <c r="F192" s="1"/>
      <c r="G192" s="1"/>
      <c r="H192" s="1"/>
    </row>
    <row r="193" spans="1:8" s="61" customFormat="1">
      <c r="A193" s="4"/>
      <c r="E193" s="1"/>
      <c r="F193" s="1"/>
      <c r="G193" s="1"/>
      <c r="H193" s="1"/>
    </row>
    <row r="194" spans="1:8" s="61" customFormat="1">
      <c r="A194" s="4"/>
      <c r="E194" s="1"/>
      <c r="F194" s="1"/>
      <c r="G194" s="1"/>
      <c r="H194" s="1"/>
    </row>
    <row r="195" spans="1:8" s="61" customFormat="1">
      <c r="A195" s="4"/>
      <c r="E195" s="1"/>
      <c r="F195" s="1"/>
      <c r="G195" s="1"/>
      <c r="H195" s="1"/>
    </row>
    <row r="196" spans="1:8" s="61" customFormat="1">
      <c r="A196" s="4"/>
      <c r="E196" s="1"/>
      <c r="F196" s="1"/>
      <c r="G196" s="1"/>
      <c r="H196" s="1"/>
    </row>
    <row r="197" spans="1:8" s="61" customFormat="1">
      <c r="A197" s="4"/>
      <c r="E197" s="1"/>
      <c r="F197" s="1"/>
      <c r="G197" s="1"/>
      <c r="H197" s="1"/>
    </row>
    <row r="198" spans="1:8" s="61" customFormat="1">
      <c r="A198" s="4"/>
      <c r="E198" s="1"/>
      <c r="F198" s="1"/>
      <c r="G198" s="1"/>
      <c r="H198" s="1"/>
    </row>
    <row r="199" spans="1:8" s="61" customFormat="1">
      <c r="A199" s="4"/>
      <c r="E199" s="1"/>
      <c r="F199" s="1"/>
      <c r="G199" s="1"/>
      <c r="H199" s="1"/>
    </row>
    <row r="200" spans="1:8" s="61" customFormat="1">
      <c r="A200" s="4"/>
      <c r="E200" s="1"/>
      <c r="F200" s="1"/>
      <c r="G200" s="1"/>
      <c r="H200" s="1"/>
    </row>
    <row r="201" spans="1:8" s="61" customFormat="1">
      <c r="A201" s="4"/>
      <c r="E201" s="1"/>
      <c r="F201" s="1"/>
      <c r="G201" s="1"/>
      <c r="H201" s="1"/>
    </row>
    <row r="202" spans="1:8" s="61" customFormat="1">
      <c r="A202" s="4"/>
      <c r="E202" s="1"/>
      <c r="F202" s="1"/>
      <c r="G202" s="1"/>
      <c r="H202" s="1"/>
    </row>
    <row r="203" spans="1:8" s="61" customFormat="1">
      <c r="A203" s="4"/>
      <c r="E203" s="1"/>
      <c r="F203" s="1"/>
      <c r="G203" s="1"/>
      <c r="H203" s="1"/>
    </row>
    <row r="204" spans="1:8" s="61" customFormat="1">
      <c r="A204" s="4"/>
      <c r="E204" s="1"/>
      <c r="F204" s="1"/>
      <c r="G204" s="1"/>
      <c r="H204" s="1"/>
    </row>
    <row r="205" spans="1:8" s="61" customFormat="1">
      <c r="A205" s="4"/>
      <c r="E205" s="1"/>
      <c r="F205" s="1"/>
      <c r="G205" s="1"/>
      <c r="H205" s="1"/>
    </row>
    <row r="206" spans="1:8" s="61" customFormat="1">
      <c r="A206" s="4"/>
      <c r="E206" s="1"/>
      <c r="F206" s="1"/>
      <c r="G206" s="1"/>
      <c r="H206" s="1"/>
    </row>
    <row r="207" spans="1:8" s="61" customFormat="1">
      <c r="A207" s="4"/>
      <c r="E207" s="1"/>
      <c r="F207" s="1"/>
      <c r="G207" s="1"/>
      <c r="H207" s="1"/>
    </row>
    <row r="208" spans="1:8" s="61" customFormat="1">
      <c r="A208" s="4"/>
      <c r="E208" s="1"/>
      <c r="F208" s="1"/>
      <c r="G208" s="1"/>
      <c r="H208" s="1"/>
    </row>
    <row r="209" spans="1:8" s="61" customFormat="1">
      <c r="A209" s="4"/>
      <c r="E209" s="1"/>
      <c r="F209" s="1"/>
      <c r="G209" s="1"/>
      <c r="H209" s="1"/>
    </row>
    <row r="210" spans="1:8" s="61" customFormat="1">
      <c r="A210" s="4"/>
      <c r="E210" s="1"/>
      <c r="F210" s="1"/>
      <c r="G210" s="1"/>
      <c r="H210" s="1"/>
    </row>
    <row r="211" spans="1:8" s="61" customFormat="1">
      <c r="A211" s="4"/>
      <c r="E211" s="1"/>
      <c r="F211" s="1"/>
      <c r="G211" s="1"/>
      <c r="H211" s="1"/>
    </row>
    <row r="212" spans="1:8" s="61" customFormat="1">
      <c r="A212" s="4"/>
      <c r="E212" s="1"/>
      <c r="F212" s="1"/>
      <c r="G212" s="1"/>
      <c r="H212" s="1"/>
    </row>
    <row r="213" spans="1:8" s="61" customFormat="1">
      <c r="A213" s="4"/>
      <c r="E213" s="1"/>
      <c r="F213" s="1"/>
      <c r="G213" s="1"/>
      <c r="H213" s="1"/>
    </row>
    <row r="214" spans="1:8" s="61" customFormat="1">
      <c r="A214" s="4"/>
      <c r="E214" s="1"/>
      <c r="F214" s="1"/>
      <c r="G214" s="1"/>
      <c r="H214" s="1"/>
    </row>
    <row r="215" spans="1:8" s="61" customFormat="1">
      <c r="A215" s="4"/>
      <c r="E215" s="1"/>
      <c r="F215" s="1"/>
      <c r="G215" s="1"/>
      <c r="H215" s="1"/>
    </row>
    <row r="216" spans="1:8" s="61" customFormat="1">
      <c r="A216" s="4"/>
      <c r="E216" s="1"/>
      <c r="F216" s="1"/>
      <c r="G216" s="1"/>
      <c r="H216" s="1"/>
    </row>
    <row r="217" spans="1:8" s="61" customFormat="1">
      <c r="A217" s="4"/>
      <c r="E217" s="1"/>
      <c r="F217" s="1"/>
      <c r="G217" s="1"/>
      <c r="H217" s="1"/>
    </row>
    <row r="218" spans="1:8" s="61" customFormat="1">
      <c r="A218" s="4"/>
      <c r="E218" s="1"/>
      <c r="F218" s="1"/>
      <c r="G218" s="1"/>
      <c r="H218" s="1"/>
    </row>
    <row r="219" spans="1:8" s="61" customFormat="1">
      <c r="A219" s="4"/>
      <c r="E219" s="1"/>
      <c r="F219" s="1"/>
      <c r="G219" s="1"/>
      <c r="H219" s="1"/>
    </row>
    <row r="220" spans="1:8" s="61" customFormat="1">
      <c r="A220" s="4"/>
      <c r="E220" s="1"/>
      <c r="F220" s="1"/>
      <c r="G220" s="1"/>
      <c r="H220" s="1"/>
    </row>
    <row r="221" spans="1:8" s="61" customFormat="1">
      <c r="A221" s="4"/>
      <c r="E221" s="1"/>
      <c r="F221" s="1"/>
      <c r="G221" s="1"/>
      <c r="H221" s="1"/>
    </row>
    <row r="222" spans="1:8" s="61" customFormat="1">
      <c r="A222" s="4"/>
      <c r="E222" s="1"/>
      <c r="F222" s="1"/>
      <c r="G222" s="1"/>
      <c r="H222" s="1"/>
    </row>
    <row r="223" spans="1:8" s="61" customFormat="1">
      <c r="A223" s="4"/>
      <c r="E223" s="1"/>
      <c r="F223" s="1"/>
      <c r="G223" s="1"/>
      <c r="H223" s="1"/>
    </row>
    <row r="224" spans="1:8" s="61" customFormat="1">
      <c r="A224" s="4"/>
      <c r="E224" s="1"/>
      <c r="F224" s="1"/>
      <c r="G224" s="1"/>
      <c r="H224" s="1"/>
    </row>
    <row r="225" spans="1:8" s="61" customFormat="1">
      <c r="A225" s="4"/>
      <c r="E225" s="1"/>
      <c r="F225" s="1"/>
      <c r="G225" s="1"/>
      <c r="H225" s="1"/>
    </row>
    <row r="226" spans="1:8" s="61" customFormat="1">
      <c r="A226" s="4"/>
      <c r="E226" s="1"/>
      <c r="F226" s="1"/>
      <c r="G226" s="1"/>
      <c r="H226" s="1"/>
    </row>
    <row r="227" spans="1:8" s="61" customFormat="1">
      <c r="A227" s="4"/>
      <c r="E227" s="1"/>
      <c r="F227" s="1"/>
      <c r="G227" s="1"/>
      <c r="H227" s="1"/>
    </row>
    <row r="228" spans="1:8" s="61" customFormat="1">
      <c r="A228" s="4"/>
      <c r="E228" s="1"/>
      <c r="F228" s="1"/>
      <c r="G228" s="1"/>
      <c r="H228" s="1"/>
    </row>
    <row r="229" spans="1:8" s="61" customFormat="1">
      <c r="A229" s="4"/>
      <c r="E229" s="1"/>
      <c r="F229" s="1"/>
      <c r="G229" s="1"/>
      <c r="H229" s="1"/>
    </row>
    <row r="230" spans="1:8" s="61" customFormat="1">
      <c r="A230" s="4"/>
      <c r="E230" s="1"/>
      <c r="F230" s="1"/>
      <c r="G230" s="1"/>
      <c r="H230" s="1"/>
    </row>
    <row r="231" spans="1:8" s="61" customFormat="1">
      <c r="A231" s="4"/>
      <c r="E231" s="1"/>
      <c r="F231" s="1"/>
      <c r="G231" s="1"/>
      <c r="H231" s="1"/>
    </row>
    <row r="232" spans="1:8" s="61" customFormat="1">
      <c r="A232" s="4"/>
      <c r="E232" s="1"/>
      <c r="F232" s="1"/>
      <c r="G232" s="1"/>
      <c r="H232" s="1"/>
    </row>
    <row r="233" spans="1:8" s="61" customFormat="1">
      <c r="A233" s="4"/>
      <c r="E233" s="1"/>
      <c r="F233" s="1"/>
      <c r="G233" s="1"/>
      <c r="H233" s="1"/>
    </row>
    <row r="234" spans="1:8" s="61" customFormat="1">
      <c r="A234" s="4"/>
      <c r="E234" s="1"/>
      <c r="F234" s="1"/>
      <c r="G234" s="1"/>
      <c r="H234" s="1"/>
    </row>
    <row r="235" spans="1:8" s="61" customFormat="1">
      <c r="A235" s="4"/>
      <c r="E235" s="1"/>
      <c r="F235" s="1"/>
      <c r="G235" s="1"/>
      <c r="H235" s="1"/>
    </row>
    <row r="236" spans="1:8" s="61" customFormat="1">
      <c r="A236" s="4"/>
      <c r="E236" s="1"/>
      <c r="F236" s="1"/>
      <c r="G236" s="1"/>
      <c r="H236" s="1"/>
    </row>
    <row r="237" spans="1:8" s="61" customFormat="1">
      <c r="A237" s="4"/>
      <c r="E237" s="1"/>
      <c r="F237" s="1"/>
      <c r="G237" s="1"/>
      <c r="H237" s="1"/>
    </row>
    <row r="238" spans="1:8" s="61" customFormat="1">
      <c r="A238" s="4"/>
      <c r="E238" s="1"/>
      <c r="F238" s="1"/>
      <c r="G238" s="1"/>
      <c r="H238" s="1"/>
    </row>
    <row r="239" spans="1:8" s="61" customFormat="1">
      <c r="A239" s="4"/>
      <c r="E239" s="1"/>
      <c r="F239" s="1"/>
      <c r="G239" s="1"/>
      <c r="H239" s="1"/>
    </row>
    <row r="240" spans="1:8" s="61" customFormat="1">
      <c r="A240" s="4"/>
      <c r="E240" s="1"/>
      <c r="F240" s="1"/>
      <c r="G240" s="1"/>
      <c r="H240" s="1"/>
    </row>
    <row r="241" spans="1:8" s="61" customFormat="1">
      <c r="A241" s="4"/>
      <c r="E241" s="1"/>
      <c r="F241" s="1"/>
      <c r="G241" s="1"/>
      <c r="H241" s="1"/>
    </row>
    <row r="242" spans="1:8" s="61" customFormat="1">
      <c r="A242" s="4"/>
      <c r="E242" s="1"/>
      <c r="F242" s="1"/>
      <c r="G242" s="1"/>
      <c r="H242" s="1"/>
    </row>
    <row r="243" spans="1:8" s="61" customFormat="1">
      <c r="A243" s="4"/>
      <c r="E243" s="1"/>
      <c r="F243" s="1"/>
      <c r="G243" s="1"/>
      <c r="H243" s="1"/>
    </row>
    <row r="244" spans="1:8" s="61" customFormat="1">
      <c r="A244" s="4"/>
      <c r="E244" s="1"/>
      <c r="F244" s="1"/>
      <c r="G244" s="1"/>
      <c r="H244" s="1"/>
    </row>
    <row r="245" spans="1:8" s="61" customFormat="1">
      <c r="A245" s="4"/>
      <c r="E245" s="1"/>
      <c r="F245" s="1"/>
      <c r="G245" s="1"/>
      <c r="H245" s="1"/>
    </row>
    <row r="246" spans="1:8" s="61" customFormat="1">
      <c r="A246" s="4"/>
      <c r="E246" s="1"/>
      <c r="F246" s="1"/>
      <c r="G246" s="1"/>
      <c r="H246" s="1"/>
    </row>
    <row r="247" spans="1:8" s="61" customFormat="1">
      <c r="A247" s="4"/>
      <c r="E247" s="1"/>
      <c r="F247" s="1"/>
      <c r="G247" s="1"/>
      <c r="H247" s="1"/>
    </row>
    <row r="248" spans="1:8" s="61" customFormat="1">
      <c r="A248" s="4"/>
      <c r="E248" s="1"/>
      <c r="F248" s="1"/>
      <c r="G248" s="1"/>
      <c r="H248" s="1"/>
    </row>
    <row r="249" spans="1:8" s="61" customFormat="1">
      <c r="A249" s="4"/>
      <c r="E249" s="1"/>
      <c r="F249" s="1"/>
      <c r="G249" s="1"/>
      <c r="H249" s="1"/>
    </row>
  </sheetData>
  <mergeCells count="22">
    <mergeCell ref="G98:H98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  <mergeCell ref="D97:E97"/>
    <mergeCell ref="D98:E98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7" fitToHeight="6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K209"/>
  <sheetViews>
    <sheetView tabSelected="1" view="pageBreakPreview" zoomScale="80" zoomScaleSheetLayoutView="80" workbookViewId="0">
      <selection activeCell="F12" sqref="F12"/>
    </sheetView>
  </sheetViews>
  <sheetFormatPr defaultRowHeight="18.75"/>
  <cols>
    <col min="1" max="1" width="4" style="168" customWidth="1"/>
    <col min="2" max="2" width="58.5703125" style="168" customWidth="1"/>
    <col min="3" max="3" width="8.7109375" style="202" customWidth="1"/>
    <col min="4" max="5" width="15.42578125" style="62" customWidth="1"/>
    <col min="6" max="6" width="16.42578125" style="311" customWidth="1"/>
    <col min="7" max="7" width="14.5703125" style="171" customWidth="1"/>
    <col min="8" max="8" width="15.28515625" style="171" customWidth="1"/>
    <col min="9" max="9" width="16.85546875" style="168" customWidth="1"/>
    <col min="10" max="10" width="13" style="168" customWidth="1"/>
    <col min="11" max="11" width="11.85546875" style="168" customWidth="1"/>
    <col min="12" max="16384" width="9.140625" style="168"/>
  </cols>
  <sheetData>
    <row r="1" spans="1:10" ht="29.25" customHeight="1">
      <c r="A1" s="344" t="s">
        <v>84</v>
      </c>
      <c r="B1" s="344"/>
      <c r="C1" s="344"/>
      <c r="D1" s="344"/>
      <c r="E1" s="344"/>
      <c r="F1" s="344"/>
      <c r="G1" s="344"/>
      <c r="H1" s="344"/>
    </row>
    <row r="2" spans="1:10">
      <c r="B2" s="169"/>
      <c r="C2" s="170"/>
      <c r="D2" s="251"/>
      <c r="E2" s="251"/>
      <c r="F2" s="302"/>
      <c r="H2" s="171" t="s">
        <v>59</v>
      </c>
    </row>
    <row r="3" spans="1:10" s="171" customFormat="1" ht="60.75" customHeight="1">
      <c r="A3" s="172" t="s">
        <v>6</v>
      </c>
      <c r="B3" s="150" t="s">
        <v>20</v>
      </c>
      <c r="C3" s="172" t="s">
        <v>4</v>
      </c>
      <c r="D3" s="10" t="s">
        <v>308</v>
      </c>
      <c r="E3" s="257" t="s">
        <v>310</v>
      </c>
      <c r="F3" s="303" t="s">
        <v>309</v>
      </c>
      <c r="G3" s="173" t="s">
        <v>186</v>
      </c>
      <c r="H3" s="173" t="s">
        <v>187</v>
      </c>
    </row>
    <row r="4" spans="1:10" ht="19.5" customHeight="1">
      <c r="A4" s="174">
        <v>1</v>
      </c>
      <c r="B4" s="150">
        <v>2</v>
      </c>
      <c r="C4" s="150">
        <v>3</v>
      </c>
      <c r="D4" s="9">
        <v>4</v>
      </c>
      <c r="E4" s="9">
        <v>5</v>
      </c>
      <c r="F4" s="304">
        <v>6</v>
      </c>
      <c r="G4" s="175">
        <v>7</v>
      </c>
      <c r="H4" s="173">
        <v>8</v>
      </c>
    </row>
    <row r="5" spans="1:10" ht="27.75" customHeight="1">
      <c r="A5" s="348" t="s">
        <v>68</v>
      </c>
      <c r="B5" s="349"/>
      <c r="C5" s="150"/>
      <c r="D5" s="290">
        <f>D6+D10+D19+D21</f>
        <v>146826.20000000001</v>
      </c>
      <c r="E5" s="290">
        <f>E6+E10+E19+E21</f>
        <v>139712.59999999998</v>
      </c>
      <c r="F5" s="305">
        <f>F6+F10+F19+F21</f>
        <v>181741.90000000002</v>
      </c>
      <c r="G5" s="176">
        <f t="shared" ref="G5:G10" si="0">F5-E5</f>
        <v>42029.300000000047</v>
      </c>
      <c r="H5" s="176">
        <f t="shared" ref="H5:H10" si="1">(F5/E5)*100</f>
        <v>130.08268402420401</v>
      </c>
      <c r="I5" s="177"/>
      <c r="J5" s="177"/>
    </row>
    <row r="6" spans="1:10" ht="42" customHeight="1">
      <c r="A6" s="350" t="s">
        <v>67</v>
      </c>
      <c r="B6" s="351"/>
      <c r="C6" s="178">
        <v>1000</v>
      </c>
      <c r="D6" s="282">
        <f>D7+D8</f>
        <v>120590.9</v>
      </c>
      <c r="E6" s="282">
        <f>E7+E8</f>
        <v>117796.2</v>
      </c>
      <c r="F6" s="306">
        <f>F7+F8+F9</f>
        <v>145527.30000000002</v>
      </c>
      <c r="G6" s="176">
        <f t="shared" si="0"/>
        <v>27731.10000000002</v>
      </c>
      <c r="H6" s="176">
        <f t="shared" si="1"/>
        <v>123.54159132467773</v>
      </c>
    </row>
    <row r="7" spans="1:10" ht="39" customHeight="1">
      <c r="A7" s="174">
        <v>1</v>
      </c>
      <c r="B7" s="179" t="s">
        <v>107</v>
      </c>
      <c r="C7" s="150"/>
      <c r="D7" s="272">
        <f>120524.5</f>
        <v>120524.5</v>
      </c>
      <c r="E7" s="291">
        <v>117600</v>
      </c>
      <c r="F7" s="307">
        <v>145380.1</v>
      </c>
      <c r="G7" s="180">
        <f t="shared" si="0"/>
        <v>27780.100000000006</v>
      </c>
      <c r="H7" s="180">
        <f t="shared" si="1"/>
        <v>123.62253401360546</v>
      </c>
    </row>
    <row r="8" spans="1:10" ht="57.75" customHeight="1">
      <c r="A8" s="174">
        <v>2</v>
      </c>
      <c r="B8" s="179" t="s">
        <v>201</v>
      </c>
      <c r="C8" s="178"/>
      <c r="D8" s="272">
        <f>66.4</f>
        <v>66.400000000000006</v>
      </c>
      <c r="E8" s="291">
        <v>196.2</v>
      </c>
      <c r="F8" s="307">
        <v>76.099999999999994</v>
      </c>
      <c r="G8" s="180">
        <f t="shared" ref="G8:G9" si="2">F8-E8</f>
        <v>-120.1</v>
      </c>
      <c r="H8" s="176">
        <f t="shared" ref="H8:H9" si="3">(F8/E8)*100</f>
        <v>38.786952089704386</v>
      </c>
    </row>
    <row r="9" spans="1:10" ht="35.25" customHeight="1">
      <c r="A9" s="181">
        <v>3</v>
      </c>
      <c r="B9" s="179" t="s">
        <v>300</v>
      </c>
      <c r="C9" s="178"/>
      <c r="D9" s="272"/>
      <c r="E9" s="291"/>
      <c r="F9" s="307">
        <v>71.099999999999994</v>
      </c>
      <c r="G9" s="180">
        <f t="shared" si="2"/>
        <v>71.099999999999994</v>
      </c>
      <c r="H9" s="182" t="e">
        <f t="shared" si="3"/>
        <v>#DIV/0!</v>
      </c>
    </row>
    <row r="10" spans="1:10" ht="30.75" customHeight="1">
      <c r="A10" s="350" t="s">
        <v>31</v>
      </c>
      <c r="B10" s="351"/>
      <c r="C10" s="178">
        <v>1040</v>
      </c>
      <c r="D10" s="282">
        <f>SUM(D12:D18)</f>
        <v>15304.199999999999</v>
      </c>
      <c r="E10" s="282">
        <f>SUM(E11:E18)</f>
        <v>8375.4</v>
      </c>
      <c r="F10" s="306">
        <f>SUM(F11:F18)</f>
        <v>20235.2</v>
      </c>
      <c r="G10" s="176">
        <f t="shared" si="0"/>
        <v>11859.800000000001</v>
      </c>
      <c r="H10" s="176">
        <f t="shared" si="1"/>
        <v>241.60278912051965</v>
      </c>
    </row>
    <row r="11" spans="1:10" ht="96" customHeight="1">
      <c r="A11" s="150">
        <v>1</v>
      </c>
      <c r="B11" s="183" t="s">
        <v>299</v>
      </c>
      <c r="C11" s="178"/>
      <c r="D11" s="282" t="s">
        <v>247</v>
      </c>
      <c r="E11" s="291">
        <v>588.5</v>
      </c>
      <c r="F11" s="307">
        <v>727.1</v>
      </c>
      <c r="G11" s="180">
        <f t="shared" ref="G11" si="4">F11-E11</f>
        <v>138.60000000000002</v>
      </c>
      <c r="H11" s="180">
        <f t="shared" ref="H11" si="5">(F11/E11)*100</f>
        <v>123.55140186915887</v>
      </c>
    </row>
    <row r="12" spans="1:10" ht="48" customHeight="1">
      <c r="A12" s="150">
        <v>2</v>
      </c>
      <c r="B12" s="184" t="s">
        <v>298</v>
      </c>
      <c r="C12" s="178"/>
      <c r="D12" s="272" t="s">
        <v>247</v>
      </c>
      <c r="E12" s="291"/>
      <c r="F12" s="307">
        <v>5549.3</v>
      </c>
      <c r="G12" s="180">
        <f t="shared" ref="G12" si="6">F12-E12</f>
        <v>5549.3</v>
      </c>
      <c r="H12" s="185" t="e">
        <f t="shared" ref="H12" si="7">(F12/E12)*100</f>
        <v>#DIV/0!</v>
      </c>
    </row>
    <row r="13" spans="1:10" ht="39" customHeight="1">
      <c r="A13" s="150">
        <v>3</v>
      </c>
      <c r="B13" s="179" t="s">
        <v>297</v>
      </c>
      <c r="C13" s="178"/>
      <c r="D13" s="272">
        <v>10842</v>
      </c>
      <c r="E13" s="291">
        <v>7679.8</v>
      </c>
      <c r="F13" s="307">
        <v>7790.8</v>
      </c>
      <c r="G13" s="180">
        <f t="shared" ref="G13:G85" si="8">F13-E13</f>
        <v>111</v>
      </c>
      <c r="H13" s="180">
        <f t="shared" ref="H13:H85" si="9">(F13/E13)*100</f>
        <v>101.44535013932654</v>
      </c>
    </row>
    <row r="14" spans="1:10" ht="24.75" customHeight="1">
      <c r="A14" s="150">
        <v>4</v>
      </c>
      <c r="B14" s="179" t="s">
        <v>202</v>
      </c>
      <c r="C14" s="178"/>
      <c r="D14" s="272">
        <v>97.8</v>
      </c>
      <c r="E14" s="292">
        <v>102.1</v>
      </c>
      <c r="F14" s="307">
        <v>112.7</v>
      </c>
      <c r="G14" s="180">
        <f t="shared" si="8"/>
        <v>10.600000000000009</v>
      </c>
      <c r="H14" s="180">
        <f t="shared" si="9"/>
        <v>110.38197845249755</v>
      </c>
    </row>
    <row r="15" spans="1:10" ht="24.75" customHeight="1">
      <c r="A15" s="150">
        <v>5</v>
      </c>
      <c r="B15" s="179" t="s">
        <v>155</v>
      </c>
      <c r="C15" s="178"/>
      <c r="D15" s="272"/>
      <c r="E15" s="291">
        <v>5</v>
      </c>
      <c r="F15" s="307"/>
      <c r="G15" s="180">
        <f t="shared" si="8"/>
        <v>-5</v>
      </c>
      <c r="H15" s="180">
        <f t="shared" si="9"/>
        <v>0</v>
      </c>
    </row>
    <row r="16" spans="1:10" ht="24.75" customHeight="1">
      <c r="A16" s="150">
        <v>6</v>
      </c>
      <c r="B16" s="179" t="s">
        <v>295</v>
      </c>
      <c r="C16" s="178"/>
      <c r="D16" s="272"/>
      <c r="E16" s="291"/>
      <c r="F16" s="307">
        <v>12.4</v>
      </c>
      <c r="G16" s="180">
        <f t="shared" si="8"/>
        <v>12.4</v>
      </c>
      <c r="H16" s="185" t="e">
        <f t="shared" si="9"/>
        <v>#DIV/0!</v>
      </c>
    </row>
    <row r="17" spans="1:11" ht="24.75" customHeight="1">
      <c r="A17" s="150">
        <v>7</v>
      </c>
      <c r="B17" s="179" t="s">
        <v>296</v>
      </c>
      <c r="C17" s="178"/>
      <c r="D17" s="272"/>
      <c r="E17" s="291"/>
      <c r="F17" s="307">
        <v>577.5</v>
      </c>
      <c r="G17" s="180">
        <f t="shared" si="8"/>
        <v>577.5</v>
      </c>
      <c r="H17" s="185" t="e">
        <f t="shared" si="9"/>
        <v>#DIV/0!</v>
      </c>
    </row>
    <row r="18" spans="1:11" ht="27.75" customHeight="1">
      <c r="A18" s="150">
        <v>8</v>
      </c>
      <c r="B18" s="179" t="s">
        <v>256</v>
      </c>
      <c r="C18" s="178"/>
      <c r="D18" s="272">
        <v>4364.3999999999996</v>
      </c>
      <c r="E18" s="272"/>
      <c r="F18" s="307">
        <v>5465.4</v>
      </c>
      <c r="G18" s="180">
        <f t="shared" si="8"/>
        <v>5465.4</v>
      </c>
      <c r="H18" s="185" t="e">
        <f t="shared" si="9"/>
        <v>#DIV/0!</v>
      </c>
      <c r="J18" s="186"/>
    </row>
    <row r="19" spans="1:11" ht="26.25" customHeight="1">
      <c r="A19" s="352" t="s">
        <v>156</v>
      </c>
      <c r="B19" s="353"/>
      <c r="C19" s="178">
        <v>1130</v>
      </c>
      <c r="D19" s="282">
        <f>D20</f>
        <v>327.39999999999998</v>
      </c>
      <c r="E19" s="282">
        <f>E20</f>
        <v>261</v>
      </c>
      <c r="F19" s="306">
        <f>F20</f>
        <v>2190.3000000000002</v>
      </c>
      <c r="G19" s="176">
        <f t="shared" si="8"/>
        <v>1929.3000000000002</v>
      </c>
      <c r="H19" s="176">
        <f t="shared" si="9"/>
        <v>839.19540229885069</v>
      </c>
    </row>
    <row r="20" spans="1:11" ht="39.75" customHeight="1">
      <c r="A20" s="174">
        <v>1</v>
      </c>
      <c r="B20" s="179" t="s">
        <v>157</v>
      </c>
      <c r="C20" s="150"/>
      <c r="D20" s="272">
        <v>327.39999999999998</v>
      </c>
      <c r="E20" s="291">
        <v>261</v>
      </c>
      <c r="F20" s="307">
        <v>2190.3000000000002</v>
      </c>
      <c r="G20" s="180">
        <f t="shared" si="8"/>
        <v>1929.3000000000002</v>
      </c>
      <c r="H20" s="180">
        <f t="shared" si="9"/>
        <v>839.19540229885069</v>
      </c>
      <c r="J20" s="186"/>
    </row>
    <row r="21" spans="1:11" ht="24.75" customHeight="1">
      <c r="A21" s="340" t="s">
        <v>23</v>
      </c>
      <c r="B21" s="341"/>
      <c r="C21" s="178">
        <v>1150</v>
      </c>
      <c r="D21" s="282">
        <f>D22+D23</f>
        <v>10603.699999999999</v>
      </c>
      <c r="E21" s="282">
        <f t="shared" ref="E21" si="10">E23</f>
        <v>13280</v>
      </c>
      <c r="F21" s="306">
        <f>F22+F23</f>
        <v>13789.1</v>
      </c>
      <c r="G21" s="176">
        <f t="shared" si="8"/>
        <v>509.10000000000036</v>
      </c>
      <c r="H21" s="176">
        <f t="shared" si="9"/>
        <v>103.83358433734939</v>
      </c>
    </row>
    <row r="22" spans="1:11" ht="42.75" customHeight="1">
      <c r="A22" s="219">
        <v>1</v>
      </c>
      <c r="B22" s="220" t="s">
        <v>110</v>
      </c>
      <c r="C22" s="178"/>
      <c r="D22" s="272">
        <v>10601.3</v>
      </c>
      <c r="E22" s="282"/>
      <c r="F22" s="307">
        <v>13788.5</v>
      </c>
      <c r="G22" s="176"/>
      <c r="H22" s="176"/>
    </row>
    <row r="23" spans="1:11" ht="20.25" customHeight="1">
      <c r="A23" s="219">
        <v>2</v>
      </c>
      <c r="B23" s="220" t="s">
        <v>311</v>
      </c>
      <c r="C23" s="178"/>
      <c r="D23" s="272">
        <v>2.4</v>
      </c>
      <c r="E23" s="291">
        <v>13280</v>
      </c>
      <c r="F23" s="307">
        <v>0.6</v>
      </c>
      <c r="G23" s="180">
        <f t="shared" si="8"/>
        <v>-13279.4</v>
      </c>
      <c r="H23" s="180">
        <f t="shared" si="9"/>
        <v>4.5180722891566263E-3</v>
      </c>
      <c r="J23" s="186"/>
    </row>
    <row r="24" spans="1:11" ht="22.5" customHeight="1">
      <c r="A24" s="348" t="s">
        <v>69</v>
      </c>
      <c r="B24" s="349"/>
      <c r="C24" s="178"/>
      <c r="D24" s="282"/>
      <c r="E24" s="282"/>
      <c r="F24" s="306"/>
      <c r="G24" s="176"/>
      <c r="H24" s="176"/>
    </row>
    <row r="25" spans="1:11" ht="41.25" customHeight="1">
      <c r="A25" s="350" t="s">
        <v>76</v>
      </c>
      <c r="B25" s="351"/>
      <c r="C25" s="178"/>
      <c r="D25" s="267"/>
      <c r="E25" s="267"/>
      <c r="F25" s="308"/>
      <c r="G25" s="176"/>
      <c r="H25" s="176"/>
    </row>
    <row r="26" spans="1:11" ht="27" customHeight="1">
      <c r="A26" s="340" t="s">
        <v>89</v>
      </c>
      <c r="B26" s="341"/>
      <c r="C26" s="188">
        <v>1011</v>
      </c>
      <c r="D26" s="282">
        <f>SUM(D27:D43)</f>
        <v>32418.100000000002</v>
      </c>
      <c r="E26" s="282">
        <f>SUM(E27:E43)</f>
        <v>31767.9</v>
      </c>
      <c r="F26" s="306">
        <f>SUM(F27:F43)</f>
        <v>52219.700000000004</v>
      </c>
      <c r="G26" s="176">
        <f t="shared" si="8"/>
        <v>20451.800000000003</v>
      </c>
      <c r="H26" s="176">
        <f t="shared" si="9"/>
        <v>164.37882264801891</v>
      </c>
      <c r="J26" s="168">
        <v>16544.7</v>
      </c>
      <c r="K26" s="168">
        <v>24673.7</v>
      </c>
    </row>
    <row r="27" spans="1:11" ht="36.75" customHeight="1">
      <c r="A27" s="189"/>
      <c r="B27" s="183" t="s">
        <v>189</v>
      </c>
      <c r="C27" s="190"/>
      <c r="D27" s="291">
        <f>116+5.5</f>
        <v>121.5</v>
      </c>
      <c r="E27" s="293">
        <v>150</v>
      </c>
      <c r="F27" s="309">
        <v>2.6</v>
      </c>
      <c r="G27" s="180">
        <f>F27-E27</f>
        <v>-147.4</v>
      </c>
      <c r="H27" s="180">
        <f>(F27/E27)*100</f>
        <v>1.7333333333333332</v>
      </c>
    </row>
    <row r="28" spans="1:11" ht="57" customHeight="1">
      <c r="A28" s="189"/>
      <c r="B28" s="179" t="s">
        <v>244</v>
      </c>
      <c r="C28" s="190"/>
      <c r="D28" s="291">
        <f>202.6+0.6+32.1+27.1</f>
        <v>262.39999999999998</v>
      </c>
      <c r="E28" s="291">
        <v>490</v>
      </c>
      <c r="F28" s="309">
        <f>141.5+275.9+12.5</f>
        <v>429.9</v>
      </c>
      <c r="G28" s="180">
        <f>F28-E28</f>
        <v>-60.100000000000023</v>
      </c>
      <c r="H28" s="180">
        <f>(F28/E28)*100</f>
        <v>87.734693877551024</v>
      </c>
    </row>
    <row r="29" spans="1:11" ht="24" customHeight="1">
      <c r="A29" s="189"/>
      <c r="B29" s="179" t="s">
        <v>112</v>
      </c>
      <c r="C29" s="190"/>
      <c r="D29" s="291">
        <v>204.5</v>
      </c>
      <c r="E29" s="291"/>
      <c r="F29" s="309">
        <v>151.6</v>
      </c>
      <c r="G29" s="180">
        <f t="shared" si="8"/>
        <v>151.6</v>
      </c>
      <c r="H29" s="185" t="e">
        <f t="shared" si="9"/>
        <v>#DIV/0!</v>
      </c>
    </row>
    <row r="30" spans="1:11" ht="21" customHeight="1">
      <c r="A30" s="189"/>
      <c r="B30" s="179" t="s">
        <v>229</v>
      </c>
      <c r="C30" s="190"/>
      <c r="D30" s="291"/>
      <c r="E30" s="291">
        <v>360</v>
      </c>
      <c r="F30" s="309">
        <f>189.7</f>
        <v>189.7</v>
      </c>
      <c r="G30" s="180">
        <f t="shared" si="8"/>
        <v>-170.3</v>
      </c>
      <c r="H30" s="185">
        <f t="shared" si="9"/>
        <v>52.694444444444443</v>
      </c>
    </row>
    <row r="31" spans="1:11" ht="21.75" customHeight="1">
      <c r="A31" s="189"/>
      <c r="B31" s="179" t="s">
        <v>140</v>
      </c>
      <c r="C31" s="190"/>
      <c r="D31" s="291">
        <f>34.7</f>
        <v>34.700000000000003</v>
      </c>
      <c r="E31" s="268">
        <v>140</v>
      </c>
      <c r="F31" s="309">
        <f>127.4</f>
        <v>127.4</v>
      </c>
      <c r="G31" s="180">
        <f t="shared" si="8"/>
        <v>-12.599999999999994</v>
      </c>
      <c r="H31" s="180">
        <f t="shared" si="9"/>
        <v>91</v>
      </c>
    </row>
    <row r="32" spans="1:11" ht="20.25" customHeight="1">
      <c r="A32" s="189"/>
      <c r="B32" s="179" t="s">
        <v>113</v>
      </c>
      <c r="C32" s="190"/>
      <c r="D32" s="291">
        <f>5.4+1.8</f>
        <v>7.2</v>
      </c>
      <c r="E32" s="291">
        <v>5</v>
      </c>
      <c r="F32" s="309">
        <f>11.1+1.2</f>
        <v>12.299999999999999</v>
      </c>
      <c r="G32" s="180">
        <f t="shared" si="8"/>
        <v>7.2999999999999989</v>
      </c>
      <c r="H32" s="180">
        <f t="shared" si="9"/>
        <v>246</v>
      </c>
    </row>
    <row r="33" spans="1:8" ht="21" customHeight="1">
      <c r="A33" s="189"/>
      <c r="B33" s="179" t="s">
        <v>141</v>
      </c>
      <c r="C33" s="190"/>
      <c r="D33" s="291">
        <v>72.7</v>
      </c>
      <c r="E33" s="291"/>
      <c r="F33" s="309">
        <v>52.3</v>
      </c>
      <c r="G33" s="180">
        <f t="shared" si="8"/>
        <v>52.3</v>
      </c>
      <c r="H33" s="185" t="e">
        <f t="shared" si="9"/>
        <v>#DIV/0!</v>
      </c>
    </row>
    <row r="34" spans="1:8" ht="20.25" customHeight="1">
      <c r="A34" s="189"/>
      <c r="B34" s="179" t="s">
        <v>142</v>
      </c>
      <c r="C34" s="190"/>
      <c r="D34" s="291">
        <v>9.6</v>
      </c>
      <c r="E34" s="291">
        <v>30</v>
      </c>
      <c r="F34" s="309">
        <f>2.2+98.1+39.2</f>
        <v>139.5</v>
      </c>
      <c r="G34" s="180">
        <f t="shared" si="8"/>
        <v>109.5</v>
      </c>
      <c r="H34" s="180">
        <f t="shared" si="9"/>
        <v>465.00000000000006</v>
      </c>
    </row>
    <row r="35" spans="1:8" ht="36.75" customHeight="1">
      <c r="A35" s="189"/>
      <c r="B35" s="179" t="s">
        <v>246</v>
      </c>
      <c r="C35" s="150"/>
      <c r="D35" s="291">
        <f>91.4+701.1</f>
        <v>792.5</v>
      </c>
      <c r="E35" s="291">
        <v>160</v>
      </c>
      <c r="F35" s="309">
        <f>404.9+719.2</f>
        <v>1124.0999999999999</v>
      </c>
      <c r="G35" s="180">
        <f t="shared" si="8"/>
        <v>964.09999999999991</v>
      </c>
      <c r="H35" s="180">
        <f t="shared" si="9"/>
        <v>702.5625</v>
      </c>
    </row>
    <row r="36" spans="1:8" ht="20.25" customHeight="1">
      <c r="A36" s="189"/>
      <c r="B36" s="179" t="s">
        <v>144</v>
      </c>
      <c r="C36" s="190"/>
      <c r="D36" s="291">
        <v>180.4</v>
      </c>
      <c r="E36" s="291"/>
      <c r="F36" s="309">
        <f>14.6+152.5</f>
        <v>167.1</v>
      </c>
      <c r="G36" s="180">
        <f t="shared" si="8"/>
        <v>167.1</v>
      </c>
      <c r="H36" s="185" t="e">
        <f t="shared" si="9"/>
        <v>#DIV/0!</v>
      </c>
    </row>
    <row r="37" spans="1:8" ht="21" customHeight="1">
      <c r="A37" s="189"/>
      <c r="B37" s="179" t="s">
        <v>111</v>
      </c>
      <c r="C37" s="190"/>
      <c r="D37" s="291">
        <f>16217.7+3979.5+2731+24.4</f>
        <v>22952.600000000002</v>
      </c>
      <c r="E37" s="268">
        <v>22600</v>
      </c>
      <c r="F37" s="309">
        <f>28999.2+1.7+577.6+5359.6+4876.4+1.5+577.5</f>
        <v>40393.5</v>
      </c>
      <c r="G37" s="180">
        <f t="shared" si="8"/>
        <v>17793.5</v>
      </c>
      <c r="H37" s="180">
        <f t="shared" si="9"/>
        <v>178.73230088495575</v>
      </c>
    </row>
    <row r="38" spans="1:8" ht="21" customHeight="1">
      <c r="A38" s="189"/>
      <c r="B38" s="179" t="s">
        <v>132</v>
      </c>
      <c r="C38" s="190"/>
      <c r="D38" s="291">
        <f>629.8+437.2</f>
        <v>1067</v>
      </c>
      <c r="E38" s="291">
        <v>1100</v>
      </c>
      <c r="F38" s="309">
        <f>1372.1+786.1</f>
        <v>2158.1999999999998</v>
      </c>
      <c r="G38" s="180">
        <f t="shared" si="8"/>
        <v>1058.1999999999998</v>
      </c>
      <c r="H38" s="180">
        <f t="shared" si="9"/>
        <v>196.2</v>
      </c>
    </row>
    <row r="39" spans="1:8" ht="20.25" customHeight="1">
      <c r="A39" s="189"/>
      <c r="B39" s="179" t="s">
        <v>134</v>
      </c>
      <c r="C39" s="190"/>
      <c r="D39" s="291">
        <v>193.1</v>
      </c>
      <c r="E39" s="291">
        <v>191.7</v>
      </c>
      <c r="F39" s="309">
        <f>136.9</f>
        <v>136.9</v>
      </c>
      <c r="G39" s="180">
        <f t="shared" si="8"/>
        <v>-54.799999999999983</v>
      </c>
      <c r="H39" s="180">
        <f t="shared" si="9"/>
        <v>71.413667188315074</v>
      </c>
    </row>
    <row r="40" spans="1:8" ht="21" customHeight="1">
      <c r="A40" s="189"/>
      <c r="B40" s="179" t="s">
        <v>125</v>
      </c>
      <c r="C40" s="190"/>
      <c r="D40" s="291">
        <f>3.2+4071.4+8.1</f>
        <v>4082.7</v>
      </c>
      <c r="E40" s="291">
        <v>3089.6</v>
      </c>
      <c r="F40" s="309">
        <f>3662.7+7.1+0.5</f>
        <v>3670.2999999999997</v>
      </c>
      <c r="G40" s="180">
        <f t="shared" si="8"/>
        <v>580.69999999999982</v>
      </c>
      <c r="H40" s="180">
        <f t="shared" si="9"/>
        <v>118.79531330916623</v>
      </c>
    </row>
    <row r="41" spans="1:8" ht="20.25" customHeight="1">
      <c r="A41" s="189"/>
      <c r="B41" s="187" t="s">
        <v>126</v>
      </c>
      <c r="C41" s="190"/>
      <c r="D41" s="291">
        <f>0.3+215.5+1.4</f>
        <v>217.20000000000002</v>
      </c>
      <c r="E41" s="291">
        <v>217.4</v>
      </c>
      <c r="F41" s="309">
        <f>232.1+1.3+0.1</f>
        <v>233.5</v>
      </c>
      <c r="G41" s="180">
        <f t="shared" si="8"/>
        <v>16.099999999999994</v>
      </c>
      <c r="H41" s="180">
        <f t="shared" si="9"/>
        <v>107.40570377184912</v>
      </c>
    </row>
    <row r="42" spans="1:8" ht="21" customHeight="1">
      <c r="A42" s="189"/>
      <c r="B42" s="179" t="s">
        <v>127</v>
      </c>
      <c r="C42" s="190"/>
      <c r="D42" s="291">
        <f>2.2+2036.3+91.9</f>
        <v>2130.4</v>
      </c>
      <c r="E42" s="291">
        <v>3133</v>
      </c>
      <c r="F42" s="309">
        <f>2953.6+126+0.4</f>
        <v>3080</v>
      </c>
      <c r="G42" s="180">
        <f t="shared" si="8"/>
        <v>-53</v>
      </c>
      <c r="H42" s="180">
        <f t="shared" si="9"/>
        <v>98.308330673475893</v>
      </c>
    </row>
    <row r="43" spans="1:8" ht="20.25" customHeight="1">
      <c r="A43" s="189"/>
      <c r="B43" s="179" t="s">
        <v>128</v>
      </c>
      <c r="C43" s="190"/>
      <c r="D43" s="291">
        <f>0.1+89.3+0.2</f>
        <v>89.6</v>
      </c>
      <c r="E43" s="291">
        <v>101.2</v>
      </c>
      <c r="F43" s="309">
        <f>150.4+0.4</f>
        <v>150.80000000000001</v>
      </c>
      <c r="G43" s="180">
        <f t="shared" si="8"/>
        <v>49.600000000000009</v>
      </c>
      <c r="H43" s="180">
        <f t="shared" si="9"/>
        <v>149.01185770750988</v>
      </c>
    </row>
    <row r="44" spans="1:8" ht="24.75" customHeight="1">
      <c r="A44" s="340" t="s">
        <v>200</v>
      </c>
      <c r="B44" s="341"/>
      <c r="C44" s="191">
        <v>1015</v>
      </c>
      <c r="D44" s="282">
        <f>SUM(D45:D76)</f>
        <v>762.00000000000011</v>
      </c>
      <c r="E44" s="282">
        <f>SUM(E45:E76)</f>
        <v>1632.5999999999997</v>
      </c>
      <c r="F44" s="306">
        <f>SUM(F45:F76)</f>
        <v>2269.4000000000005</v>
      </c>
      <c r="G44" s="176">
        <f t="shared" si="8"/>
        <v>636.80000000000086</v>
      </c>
      <c r="H44" s="176">
        <f t="shared" si="9"/>
        <v>139.00526767119939</v>
      </c>
    </row>
    <row r="45" spans="1:8" ht="40.5" customHeight="1">
      <c r="A45" s="189"/>
      <c r="B45" s="183" t="s">
        <v>194</v>
      </c>
      <c r="C45" s="150"/>
      <c r="D45" s="272">
        <v>14.4</v>
      </c>
      <c r="E45" s="291">
        <v>50</v>
      </c>
      <c r="F45" s="307">
        <f>22.2</f>
        <v>22.2</v>
      </c>
      <c r="G45" s="180">
        <f t="shared" si="8"/>
        <v>-27.8</v>
      </c>
      <c r="H45" s="180">
        <f t="shared" si="9"/>
        <v>44.4</v>
      </c>
    </row>
    <row r="46" spans="1:8" ht="54" customHeight="1">
      <c r="A46" s="189"/>
      <c r="B46" s="192" t="s">
        <v>115</v>
      </c>
      <c r="C46" s="150"/>
      <c r="D46" s="272">
        <v>7.8</v>
      </c>
      <c r="E46" s="291">
        <v>4</v>
      </c>
      <c r="F46" s="307">
        <f>12.4</f>
        <v>12.4</v>
      </c>
      <c r="G46" s="180">
        <f t="shared" si="8"/>
        <v>8.4</v>
      </c>
      <c r="H46" s="180">
        <f t="shared" si="9"/>
        <v>310</v>
      </c>
    </row>
    <row r="47" spans="1:8" ht="22.5" customHeight="1">
      <c r="A47" s="189"/>
      <c r="B47" s="192" t="s">
        <v>130</v>
      </c>
      <c r="C47" s="190"/>
      <c r="D47" s="272">
        <f>49.5+4.2</f>
        <v>53.7</v>
      </c>
      <c r="E47" s="291">
        <v>258</v>
      </c>
      <c r="F47" s="307">
        <f>194</f>
        <v>194</v>
      </c>
      <c r="G47" s="180">
        <f t="shared" si="8"/>
        <v>-64</v>
      </c>
      <c r="H47" s="180">
        <f t="shared" si="9"/>
        <v>75.193798449612402</v>
      </c>
    </row>
    <row r="48" spans="1:8" ht="54" customHeight="1">
      <c r="A48" s="189"/>
      <c r="B48" s="179" t="s">
        <v>245</v>
      </c>
      <c r="C48" s="190"/>
      <c r="D48" s="272">
        <f>27.5+1.5</f>
        <v>29</v>
      </c>
      <c r="E48" s="293">
        <v>189.5</v>
      </c>
      <c r="F48" s="307">
        <v>42.1</v>
      </c>
      <c r="G48" s="180">
        <f t="shared" si="8"/>
        <v>-147.4</v>
      </c>
      <c r="H48" s="180">
        <f t="shared" si="9"/>
        <v>22.21635883905013</v>
      </c>
    </row>
    <row r="49" spans="1:8" ht="20.25" customHeight="1">
      <c r="A49" s="189"/>
      <c r="B49" s="192" t="s">
        <v>117</v>
      </c>
      <c r="C49" s="190"/>
      <c r="D49" s="272">
        <v>22</v>
      </c>
      <c r="E49" s="293">
        <v>22</v>
      </c>
      <c r="F49" s="307">
        <f>25.3</f>
        <v>25.3</v>
      </c>
      <c r="G49" s="180">
        <f t="shared" si="8"/>
        <v>3.3000000000000007</v>
      </c>
      <c r="H49" s="180">
        <f t="shared" si="9"/>
        <v>115.00000000000001</v>
      </c>
    </row>
    <row r="50" spans="1:8" ht="20.25" customHeight="1">
      <c r="A50" s="189"/>
      <c r="B50" s="192" t="s">
        <v>118</v>
      </c>
      <c r="C50" s="190"/>
      <c r="D50" s="272">
        <v>4.5</v>
      </c>
      <c r="E50" s="293">
        <v>7</v>
      </c>
      <c r="F50" s="307">
        <f>4.6</f>
        <v>4.5999999999999996</v>
      </c>
      <c r="G50" s="180">
        <f t="shared" si="8"/>
        <v>-2.4000000000000004</v>
      </c>
      <c r="H50" s="180">
        <f t="shared" si="9"/>
        <v>65.714285714285708</v>
      </c>
    </row>
    <row r="51" spans="1:8" ht="36.75" customHeight="1">
      <c r="A51" s="193"/>
      <c r="B51" s="192" t="s">
        <v>145</v>
      </c>
      <c r="C51" s="174"/>
      <c r="D51" s="272">
        <f>49.5+21.3</f>
        <v>70.8</v>
      </c>
      <c r="E51" s="291">
        <v>350</v>
      </c>
      <c r="F51" s="307">
        <f>352.1+19.2</f>
        <v>371.3</v>
      </c>
      <c r="G51" s="180">
        <f t="shared" si="8"/>
        <v>21.300000000000011</v>
      </c>
      <c r="H51" s="180">
        <f t="shared" si="9"/>
        <v>106.08571428571429</v>
      </c>
    </row>
    <row r="52" spans="1:8" ht="18" customHeight="1">
      <c r="A52" s="193"/>
      <c r="B52" s="192" t="s">
        <v>119</v>
      </c>
      <c r="C52" s="174"/>
      <c r="D52" s="272">
        <v>22</v>
      </c>
      <c r="E52" s="291">
        <v>35</v>
      </c>
      <c r="F52" s="307">
        <f>54</f>
        <v>54</v>
      </c>
      <c r="G52" s="180">
        <f t="shared" si="8"/>
        <v>19</v>
      </c>
      <c r="H52" s="180">
        <f t="shared" si="9"/>
        <v>154.28571428571431</v>
      </c>
    </row>
    <row r="53" spans="1:8" ht="18" customHeight="1">
      <c r="A53" s="189"/>
      <c r="B53" s="192" t="s">
        <v>120</v>
      </c>
      <c r="C53" s="190"/>
      <c r="D53" s="272">
        <v>20.3</v>
      </c>
      <c r="E53" s="293">
        <v>21</v>
      </c>
      <c r="F53" s="307">
        <f>23.2</f>
        <v>23.2</v>
      </c>
      <c r="G53" s="180">
        <f t="shared" si="8"/>
        <v>2.1999999999999993</v>
      </c>
      <c r="H53" s="180">
        <f t="shared" si="9"/>
        <v>110.47619047619048</v>
      </c>
    </row>
    <row r="54" spans="1:8" ht="18" customHeight="1">
      <c r="A54" s="189"/>
      <c r="B54" s="192" t="s">
        <v>121</v>
      </c>
      <c r="C54" s="190"/>
      <c r="D54" s="272"/>
      <c r="E54" s="293">
        <v>3</v>
      </c>
      <c r="F54" s="307"/>
      <c r="G54" s="180">
        <f t="shared" si="8"/>
        <v>-3</v>
      </c>
      <c r="H54" s="185">
        <f t="shared" si="9"/>
        <v>0</v>
      </c>
    </row>
    <row r="55" spans="1:8" ht="18" customHeight="1">
      <c r="A55" s="189"/>
      <c r="B55" s="192" t="s">
        <v>122</v>
      </c>
      <c r="C55" s="190"/>
      <c r="D55" s="272">
        <v>18.7</v>
      </c>
      <c r="E55" s="293">
        <v>17</v>
      </c>
      <c r="F55" s="307">
        <f>34.6</f>
        <v>34.6</v>
      </c>
      <c r="G55" s="180">
        <f t="shared" si="8"/>
        <v>17.600000000000001</v>
      </c>
      <c r="H55" s="180">
        <f t="shared" si="9"/>
        <v>203.52941176470586</v>
      </c>
    </row>
    <row r="56" spans="1:8" ht="18" customHeight="1">
      <c r="A56" s="189"/>
      <c r="B56" s="192" t="s">
        <v>219</v>
      </c>
      <c r="C56" s="190"/>
      <c r="D56" s="272">
        <v>8.8000000000000007</v>
      </c>
      <c r="E56" s="293">
        <v>19.399999999999999</v>
      </c>
      <c r="F56" s="307">
        <f>15.3</f>
        <v>15.3</v>
      </c>
      <c r="G56" s="180">
        <f t="shared" si="8"/>
        <v>-4.0999999999999979</v>
      </c>
      <c r="H56" s="180">
        <f t="shared" si="9"/>
        <v>78.86597938144331</v>
      </c>
    </row>
    <row r="57" spans="1:8" ht="18" customHeight="1">
      <c r="A57" s="189"/>
      <c r="B57" s="192" t="s">
        <v>123</v>
      </c>
      <c r="C57" s="190"/>
      <c r="D57" s="272">
        <f>1.2+24.6</f>
        <v>25.8</v>
      </c>
      <c r="E57" s="293">
        <v>1.2</v>
      </c>
      <c r="F57" s="307">
        <v>23.3</v>
      </c>
      <c r="G57" s="180">
        <f t="shared" si="8"/>
        <v>22.1</v>
      </c>
      <c r="H57" s="180">
        <f t="shared" si="9"/>
        <v>1941.6666666666667</v>
      </c>
    </row>
    <row r="58" spans="1:8" ht="18" customHeight="1">
      <c r="A58" s="189"/>
      <c r="B58" s="192" t="s">
        <v>124</v>
      </c>
      <c r="C58" s="190"/>
      <c r="D58" s="272">
        <v>31</v>
      </c>
      <c r="E58" s="272">
        <v>20</v>
      </c>
      <c r="F58" s="307">
        <f>11.7</f>
        <v>11.7</v>
      </c>
      <c r="G58" s="180">
        <f t="shared" si="8"/>
        <v>-8.3000000000000007</v>
      </c>
      <c r="H58" s="180">
        <f t="shared" si="9"/>
        <v>58.5</v>
      </c>
    </row>
    <row r="59" spans="1:8" ht="18" customHeight="1">
      <c r="A59" s="189"/>
      <c r="B59" s="221" t="s">
        <v>312</v>
      </c>
      <c r="C59" s="190"/>
      <c r="D59" s="272">
        <v>4.4000000000000004</v>
      </c>
      <c r="E59" s="272">
        <v>15</v>
      </c>
      <c r="F59" s="307">
        <f>32.1</f>
        <v>32.1</v>
      </c>
      <c r="G59" s="180"/>
      <c r="H59" s="180"/>
    </row>
    <row r="60" spans="1:8" ht="132" customHeight="1">
      <c r="A60" s="193"/>
      <c r="B60" s="15" t="s">
        <v>260</v>
      </c>
      <c r="C60" s="174"/>
      <c r="D60" s="272">
        <v>67.3</v>
      </c>
      <c r="E60" s="272">
        <v>125</v>
      </c>
      <c r="F60" s="307">
        <f>295.2</f>
        <v>295.2</v>
      </c>
      <c r="G60" s="180">
        <f t="shared" si="8"/>
        <v>170.2</v>
      </c>
      <c r="H60" s="180">
        <f t="shared" si="9"/>
        <v>236.15999999999997</v>
      </c>
    </row>
    <row r="61" spans="1:8" ht="17.25" customHeight="1">
      <c r="A61" s="189"/>
      <c r="B61" s="221" t="s">
        <v>359</v>
      </c>
      <c r="C61" s="174"/>
      <c r="D61" s="272"/>
      <c r="E61" s="272">
        <v>0.2</v>
      </c>
      <c r="F61" s="307"/>
      <c r="G61" s="180"/>
      <c r="H61" s="180"/>
    </row>
    <row r="62" spans="1:8" ht="18.75" customHeight="1">
      <c r="A62" s="189"/>
      <c r="B62" s="192" t="s">
        <v>159</v>
      </c>
      <c r="C62" s="190"/>
      <c r="D62" s="272">
        <v>1.2</v>
      </c>
      <c r="E62" s="293">
        <v>5</v>
      </c>
      <c r="F62" s="307">
        <f>15.7+3.2</f>
        <v>18.899999999999999</v>
      </c>
      <c r="G62" s="180">
        <f t="shared" si="8"/>
        <v>13.899999999999999</v>
      </c>
      <c r="H62" s="180">
        <f t="shared" si="9"/>
        <v>378</v>
      </c>
    </row>
    <row r="63" spans="1:8" ht="19.5" customHeight="1">
      <c r="A63" s="189"/>
      <c r="B63" s="192" t="s">
        <v>146</v>
      </c>
      <c r="C63" s="190"/>
      <c r="D63" s="272">
        <v>0.3</v>
      </c>
      <c r="E63" s="293">
        <v>0.6</v>
      </c>
      <c r="F63" s="307">
        <f>0.5</f>
        <v>0.5</v>
      </c>
      <c r="G63" s="180">
        <f t="shared" si="8"/>
        <v>-9.9999999999999978E-2</v>
      </c>
      <c r="H63" s="180">
        <f t="shared" si="9"/>
        <v>83.333333333333343</v>
      </c>
    </row>
    <row r="64" spans="1:8" ht="19.5" customHeight="1">
      <c r="A64" s="189"/>
      <c r="B64" s="192" t="s">
        <v>214</v>
      </c>
      <c r="C64" s="190"/>
      <c r="D64" s="272">
        <f>26.4+3.6</f>
        <v>30</v>
      </c>
      <c r="E64" s="293">
        <v>25.6</v>
      </c>
      <c r="F64" s="307">
        <f>54+1.8</f>
        <v>55.8</v>
      </c>
      <c r="G64" s="180">
        <f t="shared" si="8"/>
        <v>30.199999999999996</v>
      </c>
      <c r="H64" s="180">
        <f t="shared" si="9"/>
        <v>217.96874999999994</v>
      </c>
    </row>
    <row r="65" spans="1:8" ht="20.25" customHeight="1">
      <c r="A65" s="189"/>
      <c r="B65" s="192" t="s">
        <v>160</v>
      </c>
      <c r="C65" s="194"/>
      <c r="D65" s="272">
        <v>228</v>
      </c>
      <c r="E65" s="291">
        <v>250</v>
      </c>
      <c r="F65" s="307">
        <f>290.6</f>
        <v>290.60000000000002</v>
      </c>
      <c r="G65" s="180">
        <f t="shared" si="8"/>
        <v>40.600000000000023</v>
      </c>
      <c r="H65" s="180">
        <f t="shared" si="9"/>
        <v>116.24000000000001</v>
      </c>
    </row>
    <row r="66" spans="1:8" ht="20.25" customHeight="1">
      <c r="A66" s="189"/>
      <c r="B66" s="192" t="s">
        <v>365</v>
      </c>
      <c r="C66" s="194"/>
      <c r="D66" s="272"/>
      <c r="E66" s="291"/>
      <c r="F66" s="307">
        <f>18.4</f>
        <v>18.399999999999999</v>
      </c>
      <c r="G66" s="180"/>
      <c r="H66" s="180"/>
    </row>
    <row r="67" spans="1:8" ht="57" customHeight="1">
      <c r="A67" s="189"/>
      <c r="B67" s="192" t="s">
        <v>213</v>
      </c>
      <c r="C67" s="194"/>
      <c r="D67" s="272">
        <v>3.1</v>
      </c>
      <c r="E67" s="291">
        <v>3.1</v>
      </c>
      <c r="F67" s="307">
        <v>3.9</v>
      </c>
      <c r="G67" s="180">
        <f t="shared" si="8"/>
        <v>0.79999999999999982</v>
      </c>
      <c r="H67" s="180">
        <f t="shared" si="9"/>
        <v>125.80645161290323</v>
      </c>
    </row>
    <row r="68" spans="1:8" ht="36" customHeight="1">
      <c r="A68" s="189"/>
      <c r="B68" s="192" t="s">
        <v>129</v>
      </c>
      <c r="C68" s="194"/>
      <c r="D68" s="272"/>
      <c r="E68" s="291">
        <v>12</v>
      </c>
      <c r="F68" s="307"/>
      <c r="G68" s="180">
        <f t="shared" si="8"/>
        <v>-12</v>
      </c>
      <c r="H68" s="180">
        <f t="shared" si="9"/>
        <v>0</v>
      </c>
    </row>
    <row r="69" spans="1:8" ht="36" customHeight="1">
      <c r="A69" s="189"/>
      <c r="B69" s="179" t="s">
        <v>277</v>
      </c>
      <c r="C69" s="194"/>
      <c r="D69" s="272"/>
      <c r="E69" s="272"/>
      <c r="F69" s="307">
        <f>49.1</f>
        <v>49.1</v>
      </c>
      <c r="G69" s="180">
        <f t="shared" si="8"/>
        <v>49.1</v>
      </c>
      <c r="H69" s="185" t="e">
        <f t="shared" si="9"/>
        <v>#DIV/0!</v>
      </c>
    </row>
    <row r="70" spans="1:8" ht="93.75" customHeight="1">
      <c r="A70" s="189"/>
      <c r="B70" s="15" t="s">
        <v>366</v>
      </c>
      <c r="C70" s="194"/>
      <c r="D70" s="272"/>
      <c r="E70" s="272"/>
      <c r="F70" s="307">
        <v>321</v>
      </c>
      <c r="G70" s="180"/>
      <c r="H70" s="185"/>
    </row>
    <row r="71" spans="1:8" ht="55.5" customHeight="1">
      <c r="A71" s="189"/>
      <c r="B71" s="179" t="s">
        <v>248</v>
      </c>
      <c r="C71" s="194"/>
      <c r="D71" s="272">
        <v>1</v>
      </c>
      <c r="E71" s="291">
        <v>1</v>
      </c>
      <c r="F71" s="307">
        <v>1.3</v>
      </c>
      <c r="G71" s="180">
        <f t="shared" si="8"/>
        <v>0.30000000000000004</v>
      </c>
      <c r="H71" s="180">
        <f t="shared" si="9"/>
        <v>130</v>
      </c>
    </row>
    <row r="72" spans="1:8" ht="19.5" customHeight="1">
      <c r="A72" s="189"/>
      <c r="B72" s="222" t="s">
        <v>313</v>
      </c>
      <c r="C72" s="194"/>
      <c r="D72" s="272">
        <v>17.7</v>
      </c>
      <c r="E72" s="291"/>
      <c r="F72" s="307"/>
      <c r="G72" s="180"/>
      <c r="H72" s="180"/>
    </row>
    <row r="73" spans="1:8" ht="38.25" customHeight="1">
      <c r="A73" s="189"/>
      <c r="B73" s="223" t="s">
        <v>314</v>
      </c>
      <c r="C73" s="194"/>
      <c r="D73" s="272">
        <v>80.2</v>
      </c>
      <c r="E73" s="291"/>
      <c r="F73" s="307"/>
      <c r="G73" s="180"/>
      <c r="H73" s="180"/>
    </row>
    <row r="74" spans="1:8" ht="18" customHeight="1">
      <c r="A74" s="189"/>
      <c r="B74" s="222" t="s">
        <v>373</v>
      </c>
      <c r="C74" s="194"/>
      <c r="D74" s="272"/>
      <c r="E74" s="291"/>
      <c r="F74" s="307">
        <v>6.2</v>
      </c>
      <c r="G74" s="180"/>
      <c r="H74" s="180"/>
    </row>
    <row r="75" spans="1:8" ht="18" customHeight="1">
      <c r="A75" s="189"/>
      <c r="B75" s="28" t="s">
        <v>371</v>
      </c>
      <c r="C75" s="194"/>
      <c r="D75" s="272"/>
      <c r="E75" s="291"/>
      <c r="F75" s="307">
        <v>144.4</v>
      </c>
      <c r="G75" s="180"/>
      <c r="H75" s="180"/>
    </row>
    <row r="76" spans="1:8" ht="34.5" customHeight="1">
      <c r="A76" s="193"/>
      <c r="B76" s="195" t="s">
        <v>264</v>
      </c>
      <c r="C76" s="194"/>
      <c r="D76" s="272"/>
      <c r="E76" s="291">
        <v>198</v>
      </c>
      <c r="F76" s="307">
        <v>198</v>
      </c>
      <c r="G76" s="180">
        <f t="shared" si="8"/>
        <v>0</v>
      </c>
      <c r="H76" s="180">
        <f t="shared" si="9"/>
        <v>100</v>
      </c>
    </row>
    <row r="77" spans="1:8" ht="21" customHeight="1">
      <c r="A77" s="350" t="s">
        <v>77</v>
      </c>
      <c r="B77" s="351"/>
      <c r="C77" s="196"/>
      <c r="D77" s="282"/>
      <c r="E77" s="282"/>
      <c r="F77" s="306"/>
      <c r="G77" s="176"/>
      <c r="H77" s="176"/>
    </row>
    <row r="78" spans="1:8" ht="19.5" customHeight="1">
      <c r="A78" s="340" t="s">
        <v>89</v>
      </c>
      <c r="B78" s="341"/>
      <c r="C78" s="178">
        <v>1021</v>
      </c>
      <c r="D78" s="294">
        <f>SUM(D79:D81)</f>
        <v>17.399999999999999</v>
      </c>
      <c r="E78" s="294">
        <f>SUM(E79:E81)</f>
        <v>70</v>
      </c>
      <c r="F78" s="310">
        <f>SUM(F79:F81)</f>
        <v>0</v>
      </c>
      <c r="G78" s="176">
        <f t="shared" si="8"/>
        <v>-70</v>
      </c>
      <c r="H78" s="176">
        <f t="shared" si="9"/>
        <v>0</v>
      </c>
    </row>
    <row r="79" spans="1:8" ht="20.25" customHeight="1">
      <c r="A79" s="197"/>
      <c r="B79" s="192" t="s">
        <v>140</v>
      </c>
      <c r="C79" s="178"/>
      <c r="D79" s="272">
        <v>11.5</v>
      </c>
      <c r="E79" s="272">
        <v>56</v>
      </c>
      <c r="F79" s="307"/>
      <c r="G79" s="180">
        <f t="shared" si="8"/>
        <v>-56</v>
      </c>
      <c r="H79" s="180">
        <f t="shared" si="9"/>
        <v>0</v>
      </c>
    </row>
    <row r="80" spans="1:8" ht="22.5" customHeight="1">
      <c r="A80" s="197"/>
      <c r="B80" s="192" t="s">
        <v>114</v>
      </c>
      <c r="C80" s="178"/>
      <c r="D80" s="272">
        <v>5.9</v>
      </c>
      <c r="E80" s="293">
        <v>7</v>
      </c>
      <c r="F80" s="307"/>
      <c r="G80" s="180">
        <f t="shared" si="8"/>
        <v>-7</v>
      </c>
      <c r="H80" s="180">
        <f t="shared" si="9"/>
        <v>0</v>
      </c>
    </row>
    <row r="81" spans="1:8" ht="21.75" customHeight="1">
      <c r="A81" s="198"/>
      <c r="B81" s="192" t="s">
        <v>143</v>
      </c>
      <c r="C81" s="150"/>
      <c r="D81" s="272"/>
      <c r="E81" s="293">
        <v>7</v>
      </c>
      <c r="F81" s="307"/>
      <c r="G81" s="180">
        <f t="shared" si="8"/>
        <v>-7</v>
      </c>
      <c r="H81" s="180">
        <f t="shared" si="9"/>
        <v>0</v>
      </c>
    </row>
    <row r="82" spans="1:8" ht="21.75" customHeight="1">
      <c r="A82" s="340" t="s">
        <v>198</v>
      </c>
      <c r="B82" s="341"/>
      <c r="C82" s="178">
        <v>1025</v>
      </c>
      <c r="D82" s="294">
        <f>SUM(D83:D95)</f>
        <v>348.79999999999995</v>
      </c>
      <c r="E82" s="294">
        <f>SUM(E83:E93)</f>
        <v>312</v>
      </c>
      <c r="F82" s="310">
        <f>SUM(F83:F95)</f>
        <v>383.50000000000006</v>
      </c>
      <c r="G82" s="176">
        <f t="shared" si="8"/>
        <v>71.500000000000057</v>
      </c>
      <c r="H82" s="176">
        <f t="shared" si="9"/>
        <v>122.91666666666667</v>
      </c>
    </row>
    <row r="83" spans="1:8" ht="18" customHeight="1">
      <c r="A83" s="197"/>
      <c r="B83" s="192" t="s">
        <v>116</v>
      </c>
      <c r="C83" s="178"/>
      <c r="D83" s="272">
        <v>43.6</v>
      </c>
      <c r="E83" s="293">
        <v>46</v>
      </c>
      <c r="F83" s="307">
        <v>55.6</v>
      </c>
      <c r="G83" s="180">
        <f t="shared" si="8"/>
        <v>9.6000000000000014</v>
      </c>
      <c r="H83" s="180">
        <f t="shared" si="9"/>
        <v>120.86956521739131</v>
      </c>
    </row>
    <row r="84" spans="1:8" ht="18" customHeight="1">
      <c r="A84" s="197"/>
      <c r="B84" s="192" t="s">
        <v>173</v>
      </c>
      <c r="C84" s="178"/>
      <c r="D84" s="272">
        <v>99.4</v>
      </c>
      <c r="E84" s="293">
        <v>100</v>
      </c>
      <c r="F84" s="307">
        <v>197.8</v>
      </c>
      <c r="G84" s="180">
        <f t="shared" si="8"/>
        <v>97.800000000000011</v>
      </c>
      <c r="H84" s="180">
        <f t="shared" si="9"/>
        <v>197.8</v>
      </c>
    </row>
    <row r="85" spans="1:8" ht="18" customHeight="1">
      <c r="A85" s="197"/>
      <c r="B85" s="192" t="s">
        <v>148</v>
      </c>
      <c r="C85" s="178"/>
      <c r="D85" s="272">
        <v>28.4</v>
      </c>
      <c r="E85" s="293">
        <v>30</v>
      </c>
      <c r="F85" s="307">
        <v>33.700000000000003</v>
      </c>
      <c r="G85" s="180">
        <f t="shared" si="8"/>
        <v>3.7000000000000028</v>
      </c>
      <c r="H85" s="180">
        <f t="shared" si="9"/>
        <v>112.33333333333336</v>
      </c>
    </row>
    <row r="86" spans="1:8" ht="18" customHeight="1">
      <c r="A86" s="197"/>
      <c r="B86" s="192" t="s">
        <v>149</v>
      </c>
      <c r="C86" s="178"/>
      <c r="D86" s="272">
        <v>28.2</v>
      </c>
      <c r="E86" s="293">
        <v>45</v>
      </c>
      <c r="F86" s="307">
        <v>18</v>
      </c>
      <c r="G86" s="180">
        <f t="shared" ref="G86:G103" si="11">F86-E86</f>
        <v>-27</v>
      </c>
      <c r="H86" s="180">
        <f t="shared" ref="H86:H103" si="12">(F86/E86)*100</f>
        <v>40</v>
      </c>
    </row>
    <row r="87" spans="1:8" ht="18" customHeight="1">
      <c r="A87" s="197"/>
      <c r="B87" s="192" t="s">
        <v>125</v>
      </c>
      <c r="C87" s="178"/>
      <c r="D87" s="272">
        <f>89.8</f>
        <v>89.8</v>
      </c>
      <c r="E87" s="293">
        <v>63</v>
      </c>
      <c r="F87" s="307">
        <f>43.2</f>
        <v>43.2</v>
      </c>
      <c r="G87" s="180">
        <f t="shared" si="11"/>
        <v>-19.799999999999997</v>
      </c>
      <c r="H87" s="180">
        <f t="shared" si="12"/>
        <v>68.571428571428569</v>
      </c>
    </row>
    <row r="88" spans="1:8" ht="18" customHeight="1">
      <c r="A88" s="197"/>
      <c r="B88" s="192" t="s">
        <v>126</v>
      </c>
      <c r="C88" s="178"/>
      <c r="D88" s="272">
        <f>2.4</f>
        <v>2.4</v>
      </c>
      <c r="E88" s="293">
        <v>2.2000000000000002</v>
      </c>
      <c r="F88" s="307">
        <f>2.3</f>
        <v>2.2999999999999998</v>
      </c>
      <c r="G88" s="180">
        <f t="shared" si="11"/>
        <v>9.9999999999999645E-2</v>
      </c>
      <c r="H88" s="180">
        <f t="shared" si="12"/>
        <v>104.54545454545452</v>
      </c>
    </row>
    <row r="89" spans="1:8" ht="18" customHeight="1">
      <c r="A89" s="197"/>
      <c r="B89" s="192" t="s">
        <v>127</v>
      </c>
      <c r="C89" s="178"/>
      <c r="D89" s="272">
        <v>26.5</v>
      </c>
      <c r="E89" s="293">
        <v>22.3</v>
      </c>
      <c r="F89" s="307">
        <f>21.5</f>
        <v>21.5</v>
      </c>
      <c r="G89" s="180">
        <f t="shared" si="11"/>
        <v>-0.80000000000000071</v>
      </c>
      <c r="H89" s="180">
        <f t="shared" si="12"/>
        <v>96.412556053811656</v>
      </c>
    </row>
    <row r="90" spans="1:8" ht="18" customHeight="1">
      <c r="A90" s="197"/>
      <c r="B90" s="192" t="s">
        <v>128</v>
      </c>
      <c r="C90" s="178"/>
      <c r="D90" s="272">
        <f>1.3</f>
        <v>1.3</v>
      </c>
      <c r="E90" s="293">
        <v>1.2</v>
      </c>
      <c r="F90" s="307">
        <f>1.8</f>
        <v>1.8</v>
      </c>
      <c r="G90" s="180">
        <f t="shared" si="11"/>
        <v>0.60000000000000009</v>
      </c>
      <c r="H90" s="180">
        <f t="shared" si="12"/>
        <v>150</v>
      </c>
    </row>
    <row r="91" spans="1:8" ht="36.75" customHeight="1">
      <c r="A91" s="197"/>
      <c r="B91" s="192" t="s">
        <v>150</v>
      </c>
      <c r="C91" s="178"/>
      <c r="D91" s="272">
        <v>1.5</v>
      </c>
      <c r="E91" s="272">
        <v>2</v>
      </c>
      <c r="F91" s="307">
        <v>3.1</v>
      </c>
      <c r="G91" s="180">
        <f t="shared" si="11"/>
        <v>1.1000000000000001</v>
      </c>
      <c r="H91" s="180">
        <f t="shared" si="12"/>
        <v>155</v>
      </c>
    </row>
    <row r="92" spans="1:8" ht="18" customHeight="1">
      <c r="A92" s="197"/>
      <c r="B92" s="192" t="s">
        <v>38</v>
      </c>
      <c r="C92" s="178"/>
      <c r="D92" s="272">
        <v>0.2</v>
      </c>
      <c r="E92" s="272">
        <v>0.3</v>
      </c>
      <c r="F92" s="307">
        <v>0.3</v>
      </c>
      <c r="G92" s="180">
        <f t="shared" si="11"/>
        <v>0</v>
      </c>
      <c r="H92" s="180">
        <f t="shared" si="12"/>
        <v>100</v>
      </c>
    </row>
    <row r="93" spans="1:8" ht="37.5" customHeight="1">
      <c r="A93" s="197"/>
      <c r="B93" s="192" t="s">
        <v>243</v>
      </c>
      <c r="C93" s="178"/>
      <c r="D93" s="272">
        <v>1.2</v>
      </c>
      <c r="E93" s="272"/>
      <c r="F93" s="307">
        <v>3</v>
      </c>
      <c r="G93" s="180">
        <f t="shared" si="11"/>
        <v>3</v>
      </c>
      <c r="H93" s="185" t="e">
        <f t="shared" si="12"/>
        <v>#DIV/0!</v>
      </c>
    </row>
    <row r="94" spans="1:8" ht="16.5" customHeight="1">
      <c r="A94" s="253"/>
      <c r="B94" s="223" t="s">
        <v>377</v>
      </c>
      <c r="C94" s="178"/>
      <c r="D94" s="272"/>
      <c r="E94" s="272"/>
      <c r="F94" s="307">
        <v>3.2</v>
      </c>
      <c r="G94" s="180"/>
      <c r="H94" s="185"/>
    </row>
    <row r="95" spans="1:8" ht="21.75" customHeight="1">
      <c r="A95" s="199"/>
      <c r="B95" s="179" t="s">
        <v>239</v>
      </c>
      <c r="C95" s="150"/>
      <c r="D95" s="272">
        <v>26.3</v>
      </c>
      <c r="E95" s="272"/>
      <c r="F95" s="307"/>
      <c r="G95" s="180">
        <f t="shared" si="11"/>
        <v>0</v>
      </c>
      <c r="H95" s="185" t="e">
        <f t="shared" si="12"/>
        <v>#DIV/0!</v>
      </c>
    </row>
    <row r="96" spans="1:8" ht="22.5" customHeight="1">
      <c r="A96" s="350" t="s">
        <v>10</v>
      </c>
      <c r="B96" s="351"/>
      <c r="C96" s="178">
        <v>1030</v>
      </c>
      <c r="D96" s="282">
        <v>260.89999999999998</v>
      </c>
      <c r="E96" s="282">
        <v>275</v>
      </c>
      <c r="F96" s="306">
        <f>F97+F99</f>
        <v>475.4</v>
      </c>
      <c r="G96" s="176"/>
      <c r="H96" s="182"/>
    </row>
    <row r="97" spans="1:8" ht="22.5" customHeight="1">
      <c r="A97" s="247"/>
      <c r="B97" s="145" t="s">
        <v>375</v>
      </c>
      <c r="C97" s="9">
        <v>1031</v>
      </c>
      <c r="D97" s="282"/>
      <c r="E97" s="282"/>
      <c r="F97" s="306">
        <v>68</v>
      </c>
      <c r="G97" s="176"/>
      <c r="H97" s="182"/>
    </row>
    <row r="98" spans="1:8" ht="22.5" customHeight="1">
      <c r="A98" s="247"/>
      <c r="B98" s="145" t="s">
        <v>376</v>
      </c>
      <c r="C98" s="9"/>
      <c r="D98" s="282"/>
      <c r="E98" s="282"/>
      <c r="F98" s="307">
        <v>68</v>
      </c>
      <c r="G98" s="176"/>
      <c r="H98" s="182"/>
    </row>
    <row r="99" spans="1:8" ht="18" customHeight="1">
      <c r="A99" s="342" t="s">
        <v>199</v>
      </c>
      <c r="B99" s="343"/>
      <c r="C99" s="174">
        <v>1035</v>
      </c>
      <c r="D99" s="282">
        <f>SUM(D101:D103)</f>
        <v>260.89999999999998</v>
      </c>
      <c r="E99" s="282">
        <f>SUM(E101:E102)</f>
        <v>275</v>
      </c>
      <c r="F99" s="306">
        <f>SUM(F100,F101:F103)</f>
        <v>407.4</v>
      </c>
      <c r="G99" s="176">
        <f t="shared" si="11"/>
        <v>132.39999999999998</v>
      </c>
      <c r="H99" s="176">
        <f t="shared" si="12"/>
        <v>148.14545454545453</v>
      </c>
    </row>
    <row r="100" spans="1:8" ht="18" customHeight="1">
      <c r="A100" s="254"/>
      <c r="B100" s="15" t="s">
        <v>378</v>
      </c>
      <c r="C100" s="255"/>
      <c r="D100" s="282"/>
      <c r="E100" s="282"/>
      <c r="F100" s="307">
        <v>71.099999999999994</v>
      </c>
      <c r="G100" s="176"/>
      <c r="H100" s="176"/>
    </row>
    <row r="101" spans="1:8" ht="22.5" customHeight="1">
      <c r="A101" s="150"/>
      <c r="B101" s="192" t="s">
        <v>131</v>
      </c>
      <c r="C101" s="200"/>
      <c r="D101" s="272">
        <v>109.2</v>
      </c>
      <c r="E101" s="291">
        <v>125</v>
      </c>
      <c r="F101" s="307">
        <v>84.3</v>
      </c>
      <c r="G101" s="180">
        <f t="shared" si="11"/>
        <v>-40.700000000000003</v>
      </c>
      <c r="H101" s="180">
        <f t="shared" si="12"/>
        <v>67.44</v>
      </c>
    </row>
    <row r="102" spans="1:8" ht="21" customHeight="1">
      <c r="A102" s="150"/>
      <c r="B102" s="179" t="s">
        <v>135</v>
      </c>
      <c r="C102" s="194"/>
      <c r="D102" s="272">
        <v>142.69999999999999</v>
      </c>
      <c r="E102" s="291">
        <v>150</v>
      </c>
      <c r="F102" s="307">
        <v>252</v>
      </c>
      <c r="G102" s="180">
        <f t="shared" si="11"/>
        <v>102</v>
      </c>
      <c r="H102" s="180">
        <f t="shared" si="12"/>
        <v>168</v>
      </c>
    </row>
    <row r="103" spans="1:8" ht="51.75" customHeight="1">
      <c r="A103" s="150"/>
      <c r="B103" s="221" t="s">
        <v>315</v>
      </c>
      <c r="C103" s="194"/>
      <c r="D103" s="272">
        <v>9</v>
      </c>
      <c r="E103" s="291"/>
      <c r="F103" s="307"/>
      <c r="G103" s="180">
        <f t="shared" si="11"/>
        <v>0</v>
      </c>
      <c r="H103" s="185" t="e">
        <f t="shared" si="12"/>
        <v>#DIV/0!</v>
      </c>
    </row>
    <row r="104" spans="1:8" ht="127.5" customHeight="1">
      <c r="B104" s="347" t="s">
        <v>133</v>
      </c>
      <c r="C104" s="347"/>
      <c r="D104" s="345"/>
      <c r="E104" s="345"/>
      <c r="F104" s="347" t="s">
        <v>251</v>
      </c>
      <c r="G104" s="347"/>
      <c r="H104" s="347"/>
    </row>
    <row r="105" spans="1:8" ht="18.75" customHeight="1">
      <c r="B105" s="170" t="s">
        <v>54</v>
      </c>
      <c r="C105" s="201"/>
      <c r="D105" s="346" t="s">
        <v>9</v>
      </c>
      <c r="E105" s="346"/>
      <c r="F105" s="339" t="s">
        <v>14</v>
      </c>
      <c r="G105" s="339"/>
      <c r="H105" s="339"/>
    </row>
    <row r="106" spans="1:8">
      <c r="B106" s="201"/>
    </row>
    <row r="107" spans="1:8">
      <c r="B107" s="201"/>
    </row>
    <row r="108" spans="1:8">
      <c r="B108" s="201"/>
    </row>
    <row r="109" spans="1:8">
      <c r="B109" s="201"/>
    </row>
    <row r="110" spans="1:8">
      <c r="B110" s="201"/>
    </row>
    <row r="111" spans="1:8">
      <c r="B111" s="201"/>
    </row>
    <row r="112" spans="1:8">
      <c r="B112" s="201"/>
    </row>
    <row r="113" spans="2:2">
      <c r="B113" s="201"/>
    </row>
    <row r="114" spans="2:2">
      <c r="B114" s="201"/>
    </row>
    <row r="115" spans="2:2">
      <c r="B115" s="201"/>
    </row>
    <row r="116" spans="2:2">
      <c r="B116" s="201"/>
    </row>
    <row r="117" spans="2:2">
      <c r="B117" s="201"/>
    </row>
    <row r="118" spans="2:2">
      <c r="B118" s="201"/>
    </row>
    <row r="119" spans="2:2">
      <c r="B119" s="201"/>
    </row>
    <row r="120" spans="2:2">
      <c r="B120" s="201"/>
    </row>
    <row r="121" spans="2:2">
      <c r="B121" s="201"/>
    </row>
    <row r="122" spans="2:2">
      <c r="B122" s="201"/>
    </row>
    <row r="123" spans="2:2">
      <c r="B123" s="201"/>
    </row>
    <row r="124" spans="2:2">
      <c r="B124" s="201"/>
    </row>
    <row r="125" spans="2:2">
      <c r="B125" s="201"/>
    </row>
    <row r="126" spans="2:2">
      <c r="B126" s="201"/>
    </row>
    <row r="127" spans="2:2">
      <c r="B127" s="201"/>
    </row>
    <row r="128" spans="2:2">
      <c r="B128" s="201"/>
    </row>
    <row r="129" spans="2:2">
      <c r="B129" s="201"/>
    </row>
    <row r="130" spans="2:2">
      <c r="B130" s="201"/>
    </row>
    <row r="131" spans="2:2">
      <c r="B131" s="201"/>
    </row>
    <row r="132" spans="2:2">
      <c r="B132" s="201"/>
    </row>
    <row r="133" spans="2:2">
      <c r="B133" s="201"/>
    </row>
    <row r="134" spans="2:2">
      <c r="B134" s="201"/>
    </row>
    <row r="135" spans="2:2">
      <c r="B135" s="201"/>
    </row>
    <row r="136" spans="2:2">
      <c r="B136" s="201"/>
    </row>
    <row r="137" spans="2:2">
      <c r="B137" s="201"/>
    </row>
    <row r="138" spans="2:2">
      <c r="B138" s="201"/>
    </row>
    <row r="139" spans="2:2">
      <c r="B139" s="201"/>
    </row>
    <row r="140" spans="2:2">
      <c r="B140" s="201"/>
    </row>
    <row r="141" spans="2:2">
      <c r="B141" s="201"/>
    </row>
    <row r="142" spans="2:2">
      <c r="B142" s="201"/>
    </row>
    <row r="143" spans="2:2">
      <c r="B143" s="201"/>
    </row>
    <row r="144" spans="2:2">
      <c r="B144" s="201"/>
    </row>
    <row r="145" spans="2:2">
      <c r="B145" s="201"/>
    </row>
    <row r="146" spans="2:2">
      <c r="B146" s="201"/>
    </row>
    <row r="147" spans="2:2">
      <c r="B147" s="201"/>
    </row>
    <row r="148" spans="2:2">
      <c r="B148" s="201"/>
    </row>
    <row r="149" spans="2:2">
      <c r="B149" s="201"/>
    </row>
    <row r="150" spans="2:2">
      <c r="B150" s="201"/>
    </row>
    <row r="151" spans="2:2">
      <c r="B151" s="201"/>
    </row>
    <row r="152" spans="2:2">
      <c r="B152" s="201"/>
    </row>
    <row r="153" spans="2:2">
      <c r="B153" s="201"/>
    </row>
    <row r="154" spans="2:2">
      <c r="B154" s="201"/>
    </row>
    <row r="155" spans="2:2">
      <c r="B155" s="201"/>
    </row>
    <row r="156" spans="2:2">
      <c r="B156" s="201"/>
    </row>
    <row r="157" spans="2:2">
      <c r="B157" s="201"/>
    </row>
    <row r="158" spans="2:2">
      <c r="B158" s="201"/>
    </row>
    <row r="159" spans="2:2">
      <c r="B159" s="201"/>
    </row>
    <row r="160" spans="2:2">
      <c r="B160" s="201"/>
    </row>
    <row r="161" spans="2:2">
      <c r="B161" s="201"/>
    </row>
    <row r="162" spans="2:2">
      <c r="B162" s="201"/>
    </row>
    <row r="163" spans="2:2">
      <c r="B163" s="201"/>
    </row>
    <row r="164" spans="2:2">
      <c r="B164" s="201"/>
    </row>
    <row r="165" spans="2:2">
      <c r="B165" s="201"/>
    </row>
    <row r="166" spans="2:2">
      <c r="B166" s="201"/>
    </row>
    <row r="167" spans="2:2">
      <c r="B167" s="201"/>
    </row>
    <row r="168" spans="2:2">
      <c r="B168" s="201"/>
    </row>
    <row r="169" spans="2:2">
      <c r="B169" s="201"/>
    </row>
    <row r="170" spans="2:2">
      <c r="B170" s="201"/>
    </row>
    <row r="171" spans="2:2">
      <c r="B171" s="201"/>
    </row>
    <row r="172" spans="2:2">
      <c r="B172" s="201"/>
    </row>
    <row r="173" spans="2:2">
      <c r="B173" s="201"/>
    </row>
    <row r="174" spans="2:2">
      <c r="B174" s="201"/>
    </row>
    <row r="175" spans="2:2">
      <c r="B175" s="201"/>
    </row>
    <row r="176" spans="2:2">
      <c r="B176" s="201"/>
    </row>
    <row r="177" spans="2:2">
      <c r="B177" s="201"/>
    </row>
    <row r="178" spans="2:2">
      <c r="B178" s="201"/>
    </row>
    <row r="179" spans="2:2">
      <c r="B179" s="201"/>
    </row>
    <row r="180" spans="2:2">
      <c r="B180" s="201"/>
    </row>
    <row r="181" spans="2:2">
      <c r="B181" s="201"/>
    </row>
    <row r="182" spans="2:2">
      <c r="B182" s="201"/>
    </row>
    <row r="183" spans="2:2">
      <c r="B183" s="201"/>
    </row>
    <row r="184" spans="2:2">
      <c r="B184" s="201"/>
    </row>
    <row r="185" spans="2:2">
      <c r="B185" s="201"/>
    </row>
    <row r="186" spans="2:2">
      <c r="B186" s="201"/>
    </row>
    <row r="187" spans="2:2">
      <c r="B187" s="201"/>
    </row>
    <row r="188" spans="2:2">
      <c r="B188" s="201"/>
    </row>
    <row r="189" spans="2:2">
      <c r="B189" s="201"/>
    </row>
    <row r="190" spans="2:2">
      <c r="B190" s="201"/>
    </row>
    <row r="191" spans="2:2">
      <c r="B191" s="201"/>
    </row>
    <row r="192" spans="2:2">
      <c r="B192" s="201"/>
    </row>
    <row r="193" spans="2:2">
      <c r="B193" s="201"/>
    </row>
    <row r="194" spans="2:2">
      <c r="B194" s="201"/>
    </row>
    <row r="195" spans="2:2">
      <c r="B195" s="201"/>
    </row>
    <row r="196" spans="2:2">
      <c r="B196" s="201"/>
    </row>
    <row r="197" spans="2:2">
      <c r="B197" s="201"/>
    </row>
    <row r="198" spans="2:2">
      <c r="B198" s="201"/>
    </row>
    <row r="199" spans="2:2">
      <c r="B199" s="201"/>
    </row>
    <row r="200" spans="2:2">
      <c r="B200" s="201"/>
    </row>
    <row r="201" spans="2:2">
      <c r="B201" s="201"/>
    </row>
    <row r="202" spans="2:2">
      <c r="B202" s="201"/>
    </row>
    <row r="203" spans="2:2">
      <c r="B203" s="201"/>
    </row>
    <row r="204" spans="2:2">
      <c r="B204" s="201"/>
    </row>
    <row r="205" spans="2:2">
      <c r="B205" s="201"/>
    </row>
    <row r="206" spans="2:2">
      <c r="B206" s="201"/>
    </row>
    <row r="207" spans="2:2">
      <c r="B207" s="201"/>
    </row>
    <row r="208" spans="2:2">
      <c r="B208" s="201"/>
    </row>
    <row r="209" spans="2:2">
      <c r="B209" s="201"/>
    </row>
  </sheetData>
  <mergeCells count="20">
    <mergeCell ref="F104:H104"/>
    <mergeCell ref="A25:B25"/>
    <mergeCell ref="A77:B77"/>
    <mergeCell ref="A96:B96"/>
    <mergeCell ref="F105:H105"/>
    <mergeCell ref="A82:B82"/>
    <mergeCell ref="A99:B99"/>
    <mergeCell ref="A1:H1"/>
    <mergeCell ref="D104:E104"/>
    <mergeCell ref="D105:E105"/>
    <mergeCell ref="B104:C104"/>
    <mergeCell ref="A24:B24"/>
    <mergeCell ref="A5:B5"/>
    <mergeCell ref="A6:B6"/>
    <mergeCell ref="A10:B10"/>
    <mergeCell ref="A19:B19"/>
    <mergeCell ref="A21:B21"/>
    <mergeCell ref="A26:B26"/>
    <mergeCell ref="A44:B44"/>
    <mergeCell ref="A78:B78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R242"/>
  <sheetViews>
    <sheetView view="pageBreakPreview" topLeftCell="A97" zoomScale="70" zoomScaleNormal="70" zoomScaleSheetLayoutView="70" workbookViewId="0">
      <selection activeCell="F109" sqref="F109"/>
    </sheetView>
  </sheetViews>
  <sheetFormatPr defaultRowHeight="18.75"/>
  <cols>
    <col min="1" max="1" width="9" style="102" customWidth="1"/>
    <col min="2" max="2" width="63.140625" style="102" customWidth="1"/>
    <col min="3" max="3" width="10.7109375" style="27" customWidth="1"/>
    <col min="4" max="4" width="15.140625" style="27" customWidth="1"/>
    <col min="5" max="5" width="15.85546875" style="27" customWidth="1"/>
    <col min="6" max="6" width="16" style="27" customWidth="1"/>
    <col min="7" max="7" width="16.85546875" style="102" customWidth="1"/>
    <col min="8" max="8" width="14.42578125" style="102" customWidth="1"/>
    <col min="9" max="9" width="19.5703125" style="102" customWidth="1"/>
    <col min="10" max="10" width="16.85546875" style="103" bestFit="1" customWidth="1"/>
    <col min="11" max="11" width="15.7109375" style="117" customWidth="1"/>
    <col min="12" max="12" width="16" style="160" customWidth="1"/>
    <col min="13" max="13" width="17.140625" style="160" customWidth="1"/>
    <col min="14" max="14" width="16.7109375" style="102" customWidth="1"/>
    <col min="15" max="15" width="15.42578125" style="102" bestFit="1" customWidth="1"/>
    <col min="16" max="16" width="12.7109375" style="102" customWidth="1"/>
    <col min="17" max="17" width="21.85546875" style="102" customWidth="1"/>
    <col min="18" max="16384" width="9.140625" style="102"/>
  </cols>
  <sheetData>
    <row r="1" spans="1:18" ht="47.25" customHeight="1">
      <c r="A1" s="115"/>
      <c r="B1" s="356" t="s">
        <v>100</v>
      </c>
      <c r="C1" s="356"/>
      <c r="D1" s="356"/>
      <c r="E1" s="356"/>
      <c r="F1" s="356"/>
      <c r="G1" s="356"/>
      <c r="H1" s="356"/>
    </row>
    <row r="2" spans="1:18" ht="18.75" customHeight="1">
      <c r="A2" s="115"/>
      <c r="B2" s="167"/>
      <c r="C2" s="166"/>
      <c r="D2" s="250"/>
      <c r="E2" s="250"/>
      <c r="F2" s="250"/>
      <c r="G2" s="115"/>
      <c r="H2" s="115" t="s">
        <v>59</v>
      </c>
    </row>
    <row r="3" spans="1:18" s="104" customFormat="1" ht="63" customHeight="1">
      <c r="A3" s="26" t="s">
        <v>6</v>
      </c>
      <c r="B3" s="26" t="s">
        <v>20</v>
      </c>
      <c r="C3" s="26" t="s">
        <v>4</v>
      </c>
      <c r="D3" s="10" t="s">
        <v>308</v>
      </c>
      <c r="E3" s="257" t="s">
        <v>310</v>
      </c>
      <c r="F3" s="10" t="s">
        <v>309</v>
      </c>
      <c r="G3" s="9" t="s">
        <v>186</v>
      </c>
      <c r="H3" s="9" t="s">
        <v>187</v>
      </c>
      <c r="J3" s="116"/>
      <c r="K3" s="117"/>
      <c r="L3" s="117"/>
      <c r="M3" s="117"/>
    </row>
    <row r="4" spans="1:18" s="104" customFormat="1" ht="19.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J4" s="116"/>
      <c r="K4" s="117"/>
      <c r="L4" s="117"/>
      <c r="M4" s="117"/>
    </row>
    <row r="5" spans="1:18" s="104" customFormat="1" ht="31.5" customHeight="1">
      <c r="A5" s="357" t="s">
        <v>70</v>
      </c>
      <c r="B5" s="358"/>
      <c r="C5" s="121"/>
      <c r="D5" s="267">
        <f>SUM(D6,D76,D86,D92,D115,D126,D131,D175,D193,D197,D201,D170)</f>
        <v>132709.99999999997</v>
      </c>
      <c r="E5" s="267">
        <f>SUM(E6,E71,E76,E86,E92,E115,E126,E131,E175,E197,E201)</f>
        <v>136586.20000000001</v>
      </c>
      <c r="F5" s="267">
        <f>SUM(F6,F71,F76,F86,F92,F115,F126,F131,F159,F165,F175,F197,F201,F170,F109)</f>
        <v>168859.10000000003</v>
      </c>
      <c r="G5" s="64">
        <f t="shared" ref="G5" si="0">F5-E5</f>
        <v>32272.900000000023</v>
      </c>
      <c r="H5" s="64">
        <f t="shared" ref="H5" si="1">(F5/E5)*100</f>
        <v>123.62822891331629</v>
      </c>
      <c r="I5" s="104">
        <v>168859.1</v>
      </c>
      <c r="J5" s="117">
        <f>I5-F5</f>
        <v>0</v>
      </c>
      <c r="K5" s="117"/>
      <c r="L5" s="117"/>
      <c r="M5" s="117"/>
    </row>
    <row r="6" spans="1:18" s="104" customFormat="1" ht="41.25" customHeight="1">
      <c r="A6" s="12" t="s">
        <v>71</v>
      </c>
      <c r="B6" s="213" t="s">
        <v>101</v>
      </c>
      <c r="C6" s="214"/>
      <c r="D6" s="267">
        <f>SUM(D8,D50,D64)</f>
        <v>106685.2</v>
      </c>
      <c r="E6" s="267">
        <f>SUM(E8,E50,E64)</f>
        <v>114473.60000000001</v>
      </c>
      <c r="F6" s="267">
        <f>SUM(F8,F50,F64)</f>
        <v>133485.80000000002</v>
      </c>
      <c r="G6" s="64">
        <f>F6-E6</f>
        <v>19012.200000000012</v>
      </c>
      <c r="H6" s="64">
        <f>(F6/E6)*100</f>
        <v>116.60837083834177</v>
      </c>
      <c r="I6" s="118"/>
      <c r="J6" s="117"/>
      <c r="K6" s="117"/>
      <c r="L6" s="117"/>
      <c r="M6" s="117"/>
      <c r="N6" s="119"/>
    </row>
    <row r="7" spans="1:18" s="104" customFormat="1" ht="24" customHeight="1">
      <c r="A7" s="9"/>
      <c r="B7" s="120" t="s">
        <v>72</v>
      </c>
      <c r="C7" s="121"/>
      <c r="D7" s="268"/>
      <c r="E7" s="268"/>
      <c r="F7" s="268"/>
      <c r="G7" s="64"/>
      <c r="H7" s="64"/>
      <c r="J7" s="116"/>
      <c r="K7" s="117">
        <f>K9+K17+K24</f>
        <v>132659.20000000001</v>
      </c>
      <c r="L7" s="117">
        <f t="shared" ref="L7:M7" si="2">L9+L17+L24</f>
        <v>136586.20000000001</v>
      </c>
      <c r="M7" s="117">
        <f t="shared" si="2"/>
        <v>168859.09999999998</v>
      </c>
    </row>
    <row r="8" spans="1:18" s="104" customFormat="1" ht="43.5" customHeight="1">
      <c r="A8" s="122" t="s">
        <v>73</v>
      </c>
      <c r="B8" s="19" t="s">
        <v>76</v>
      </c>
      <c r="C8" s="123">
        <v>1010</v>
      </c>
      <c r="D8" s="269">
        <f>SUM(D9,D19,D20,D22,D21)</f>
        <v>99094.5</v>
      </c>
      <c r="E8" s="269">
        <f>SUM(E9,E19,E20,E21,E22)</f>
        <v>105943.6</v>
      </c>
      <c r="F8" s="269">
        <f>SUM(F9,F19,F20,F22,F21)</f>
        <v>122651.70000000001</v>
      </c>
      <c r="G8" s="124">
        <f t="shared" ref="G8:G15" si="3">F8-E8</f>
        <v>16708.100000000006</v>
      </c>
      <c r="H8" s="124">
        <f t="shared" ref="H8:H9" si="4">(F8/E8)*100</f>
        <v>115.77074971966216</v>
      </c>
      <c r="I8" s="118">
        <f>F8+F73+F78+F88+F94+F111+F117+F133+F161+F167+F177+F203</f>
        <v>156953.49999999997</v>
      </c>
      <c r="J8" s="116"/>
      <c r="K8" s="161"/>
      <c r="L8" s="162"/>
      <c r="M8" s="161"/>
      <c r="N8" s="149"/>
      <c r="P8" s="119"/>
    </row>
    <row r="9" spans="1:18" s="104" customFormat="1" ht="22.5" customHeight="1">
      <c r="A9" s="125" t="s">
        <v>161</v>
      </c>
      <c r="B9" s="120" t="s">
        <v>89</v>
      </c>
      <c r="C9" s="133">
        <v>1011</v>
      </c>
      <c r="D9" s="270">
        <f>SUM(D10:D18)</f>
        <v>17301.599999999999</v>
      </c>
      <c r="E9" s="270">
        <f>SUM(E10:E18)</f>
        <v>24035</v>
      </c>
      <c r="F9" s="270">
        <f>SUM(F10:F18)</f>
        <v>31075.599999999999</v>
      </c>
      <c r="G9" s="134">
        <f t="shared" si="3"/>
        <v>7040.5999999999985</v>
      </c>
      <c r="H9" s="134">
        <f t="shared" si="4"/>
        <v>129.29311420844601</v>
      </c>
      <c r="I9" s="118"/>
      <c r="J9" s="116">
        <v>1010</v>
      </c>
      <c r="K9" s="161">
        <f>SUM(D8,D73,D78,D88,D94,D111,D117,D133,D161,D167,D172,D177,D203)</f>
        <v>123629.6</v>
      </c>
      <c r="L9" s="161">
        <f>SUM(E8,E73,E78,E88,E94,E111,E117,E133,E161,E167,E172,E177,E203)</f>
        <v>126680.20000000001</v>
      </c>
      <c r="M9" s="161">
        <f>SUM(F8,F73,F78,F88,F94,F111,F117,F133,F161,F167,F172,F177,F203)</f>
        <v>156953.49999999997</v>
      </c>
      <c r="N9" s="245">
        <v>2111</v>
      </c>
      <c r="O9" s="118">
        <f>F19+F55+F65+F70+F74+F84</f>
        <v>82334.5</v>
      </c>
      <c r="Q9" s="117"/>
    </row>
    <row r="10" spans="1:18" s="104" customFormat="1" ht="37.5">
      <c r="A10" s="126"/>
      <c r="B10" s="25" t="s">
        <v>189</v>
      </c>
      <c r="C10" s="9"/>
      <c r="D10" s="268">
        <v>116</v>
      </c>
      <c r="E10" s="271">
        <v>150</v>
      </c>
      <c r="F10" s="268">
        <v>2.6</v>
      </c>
      <c r="G10" s="18">
        <f t="shared" si="3"/>
        <v>-147.4</v>
      </c>
      <c r="H10" s="154">
        <f>G10/F10*100</f>
        <v>-5669.2307692307695</v>
      </c>
      <c r="I10" s="119"/>
      <c r="J10" s="116">
        <v>1011</v>
      </c>
      <c r="K10" s="162">
        <f>SUM(D9,D79,D112,D118,D134,D162,D168,D173,D178,D89,D95)</f>
        <v>32418.099999999995</v>
      </c>
      <c r="L10" s="162">
        <f>SUM(E9,E79,E112,E118,E134,E162,E168,E173,E178,E89,E95)</f>
        <v>31767.9</v>
      </c>
      <c r="M10" s="162">
        <f>SUM(F9,F79,F112,F118,F134,F162,F168,F173,F178,F89,F95,)</f>
        <v>52219.7</v>
      </c>
      <c r="N10" s="245">
        <v>2120</v>
      </c>
      <c r="O10" s="118">
        <f>F20+F56+F66+F75+F85</f>
        <v>17639.399999999998</v>
      </c>
    </row>
    <row r="11" spans="1:18" s="104" customFormat="1" ht="38.25" customHeight="1">
      <c r="A11" s="126"/>
      <c r="B11" s="15" t="s">
        <v>240</v>
      </c>
      <c r="C11" s="9"/>
      <c r="D11" s="268">
        <v>202.6</v>
      </c>
      <c r="E11" s="271">
        <v>450</v>
      </c>
      <c r="F11" s="268">
        <v>141.5</v>
      </c>
      <c r="G11" s="18">
        <f t="shared" si="3"/>
        <v>-308.5</v>
      </c>
      <c r="H11" s="18">
        <f t="shared" ref="H11:H15" si="5">G11/F11*100</f>
        <v>-218.02120141342755</v>
      </c>
      <c r="I11" s="119"/>
      <c r="J11" s="116">
        <v>1012</v>
      </c>
      <c r="K11" s="162">
        <f t="shared" ref="K11:M12" si="6">SUM(D19,D74,D84,)</f>
        <v>66156.3</v>
      </c>
      <c r="L11" s="162">
        <f t="shared" si="6"/>
        <v>66143.199999999997</v>
      </c>
      <c r="M11" s="162">
        <f t="shared" si="6"/>
        <v>73555.5</v>
      </c>
      <c r="N11" s="149"/>
    </row>
    <row r="12" spans="1:18" s="104" customFormat="1" ht="21" customHeight="1">
      <c r="A12" s="126"/>
      <c r="B12" s="28" t="s">
        <v>140</v>
      </c>
      <c r="C12" s="9"/>
      <c r="D12" s="268">
        <v>34.700000000000003</v>
      </c>
      <c r="E12" s="272">
        <v>140</v>
      </c>
      <c r="F12" s="268">
        <v>127.4</v>
      </c>
      <c r="G12" s="18">
        <f t="shared" si="3"/>
        <v>-12.599999999999994</v>
      </c>
      <c r="H12" s="18">
        <f t="shared" si="5"/>
        <v>-9.8901098901098852</v>
      </c>
      <c r="I12" s="119"/>
      <c r="J12" s="116">
        <v>1013</v>
      </c>
      <c r="K12" s="162">
        <f t="shared" si="6"/>
        <v>14416.8</v>
      </c>
      <c r="L12" s="162">
        <f t="shared" si="6"/>
        <v>14386.5</v>
      </c>
      <c r="M12" s="162">
        <f t="shared" si="6"/>
        <v>15976.699999999999</v>
      </c>
      <c r="N12" s="149"/>
    </row>
    <row r="13" spans="1:18" s="104" customFormat="1" ht="24.75" customHeight="1">
      <c r="A13" s="126"/>
      <c r="B13" s="28" t="s">
        <v>113</v>
      </c>
      <c r="C13" s="9"/>
      <c r="D13" s="268">
        <v>5.4</v>
      </c>
      <c r="E13" s="271">
        <v>5</v>
      </c>
      <c r="F13" s="268">
        <v>11.1</v>
      </c>
      <c r="G13" s="18">
        <f t="shared" si="3"/>
        <v>6.1</v>
      </c>
      <c r="H13" s="18"/>
      <c r="I13" s="119"/>
      <c r="J13" s="116">
        <v>1014</v>
      </c>
      <c r="K13" s="162">
        <f>SUM(D21,D204)</f>
        <v>9876.4</v>
      </c>
      <c r="L13" s="162">
        <f>SUM(E21,E204)</f>
        <v>12750</v>
      </c>
      <c r="M13" s="162">
        <f>SUM(F21,F204)</f>
        <v>12932.199999999999</v>
      </c>
      <c r="N13" s="149"/>
    </row>
    <row r="14" spans="1:18" s="104" customFormat="1" ht="36.75" customHeight="1">
      <c r="A14" s="126"/>
      <c r="B14" s="28" t="s">
        <v>261</v>
      </c>
      <c r="C14" s="9"/>
      <c r="D14" s="268">
        <v>91.4</v>
      </c>
      <c r="E14" s="271">
        <v>160</v>
      </c>
      <c r="F14" s="268">
        <v>404.9</v>
      </c>
      <c r="G14" s="18">
        <f t="shared" si="3"/>
        <v>244.89999999999998</v>
      </c>
      <c r="H14" s="18">
        <f t="shared" si="5"/>
        <v>60.484070140775501</v>
      </c>
      <c r="I14" s="119"/>
      <c r="J14" s="127">
        <v>1015</v>
      </c>
      <c r="K14" s="162">
        <f>SUM(D22,D181,)</f>
        <v>690.59999999999991</v>
      </c>
      <c r="L14" s="162">
        <f>SUM(E22,E181,)</f>
        <v>1632.6000000000004</v>
      </c>
      <c r="M14" s="162">
        <f>SUM(F22,F145,F181,)</f>
        <v>2269.4</v>
      </c>
      <c r="N14" s="129"/>
      <c r="O14" s="130"/>
      <c r="R14" s="130"/>
    </row>
    <row r="15" spans="1:18" s="104" customFormat="1" ht="22.5" customHeight="1">
      <c r="A15" s="126"/>
      <c r="B15" s="15" t="s">
        <v>142</v>
      </c>
      <c r="C15" s="9"/>
      <c r="D15" s="268"/>
      <c r="E15" s="271">
        <v>30</v>
      </c>
      <c r="F15" s="268">
        <v>2.2000000000000002</v>
      </c>
      <c r="G15" s="18">
        <f t="shared" si="3"/>
        <v>-27.8</v>
      </c>
      <c r="H15" s="154">
        <f t="shared" si="5"/>
        <v>-1263.6363636363635</v>
      </c>
      <c r="I15" s="127"/>
      <c r="J15" s="116"/>
      <c r="K15" s="131"/>
      <c r="L15" s="160"/>
      <c r="M15" s="160"/>
      <c r="N15" s="102"/>
    </row>
    <row r="16" spans="1:18" s="104" customFormat="1" ht="22.5" customHeight="1">
      <c r="A16" s="126"/>
      <c r="B16" s="15" t="s">
        <v>144</v>
      </c>
      <c r="C16" s="9"/>
      <c r="D16" s="268"/>
      <c r="E16" s="271"/>
      <c r="F16" s="268">
        <v>14.6</v>
      </c>
      <c r="G16" s="18"/>
      <c r="H16" s="154"/>
      <c r="I16" s="127"/>
      <c r="J16" s="116"/>
      <c r="K16" s="131"/>
      <c r="L16" s="160"/>
      <c r="M16" s="160"/>
      <c r="N16" s="102"/>
    </row>
    <row r="17" spans="1:17" s="104" customFormat="1" ht="24" customHeight="1">
      <c r="A17" s="126"/>
      <c r="B17" s="15" t="s">
        <v>111</v>
      </c>
      <c r="C17" s="9"/>
      <c r="D17" s="268">
        <v>16217.7</v>
      </c>
      <c r="E17" s="272">
        <v>22000</v>
      </c>
      <c r="F17" s="268">
        <v>28999.200000000001</v>
      </c>
      <c r="G17" s="18">
        <f t="shared" ref="G17:G60" si="7">F17-E17</f>
        <v>6999.2000000000007</v>
      </c>
      <c r="H17" s="18">
        <f t="shared" ref="H17:H63" si="8">(F17/E17)*100</f>
        <v>131.81454545454545</v>
      </c>
      <c r="I17" s="118">
        <f>F50+F64+F103+F123+F153+F187+F190+F199+F205</f>
        <v>11905.6</v>
      </c>
      <c r="J17" s="116">
        <v>1020</v>
      </c>
      <c r="K17" s="161">
        <f>SUM(D50,D103,D123,D128,D190,)</f>
        <v>5034.4000000000005</v>
      </c>
      <c r="L17" s="161">
        <f>SUM(E50,E103,E123,E128,E190,)</f>
        <v>5902</v>
      </c>
      <c r="M17" s="161">
        <f>SUM(F50,F103,F123,F128,F153,F190,)</f>
        <v>7692.7000000000007</v>
      </c>
      <c r="N17" s="128"/>
      <c r="O17" s="117"/>
      <c r="Q17" s="117"/>
    </row>
    <row r="18" spans="1:17" s="104" customFormat="1" ht="25.5" customHeight="1">
      <c r="A18" s="126"/>
      <c r="B18" s="15" t="s">
        <v>132</v>
      </c>
      <c r="C18" s="9"/>
      <c r="D18" s="268">
        <f>629.8+4</f>
        <v>633.79999999999995</v>
      </c>
      <c r="E18" s="273">
        <v>1100</v>
      </c>
      <c r="F18" s="268">
        <v>1372.1</v>
      </c>
      <c r="G18" s="18">
        <f t="shared" si="7"/>
        <v>272.09999999999991</v>
      </c>
      <c r="H18" s="18">
        <f t="shared" si="8"/>
        <v>124.73636363636362</v>
      </c>
      <c r="I18" s="132"/>
      <c r="J18" s="116">
        <v>1021</v>
      </c>
      <c r="K18" s="162">
        <f>SUM(D51,D129,)</f>
        <v>17.399999999999999</v>
      </c>
      <c r="L18" s="162">
        <f>SUM(E51,E129,)</f>
        <v>70</v>
      </c>
      <c r="M18" s="162">
        <f>SUM(F51,F129,)</f>
        <v>85</v>
      </c>
    </row>
    <row r="19" spans="1:17" s="104" customFormat="1" ht="24" customHeight="1">
      <c r="A19" s="125" t="s">
        <v>162</v>
      </c>
      <c r="B19" s="120" t="s">
        <v>1</v>
      </c>
      <c r="C19" s="133">
        <v>1012</v>
      </c>
      <c r="D19" s="270">
        <f>66115.7</f>
        <v>66115.7</v>
      </c>
      <c r="E19" s="274">
        <v>65500</v>
      </c>
      <c r="F19" s="270">
        <v>72851.5</v>
      </c>
      <c r="G19" s="134">
        <f t="shared" si="7"/>
        <v>7351.5</v>
      </c>
      <c r="H19" s="134">
        <f t="shared" si="8"/>
        <v>111.22366412213739</v>
      </c>
      <c r="I19" s="132"/>
      <c r="J19" s="116">
        <v>1022</v>
      </c>
      <c r="K19" s="162">
        <f>SUM(D55,)</f>
        <v>3916.1</v>
      </c>
      <c r="L19" s="162">
        <f t="shared" ref="L19:M19" si="9">SUM(E55,)</f>
        <v>4600</v>
      </c>
      <c r="M19" s="162">
        <f t="shared" si="9"/>
        <v>6121.9</v>
      </c>
      <c r="N19" s="119"/>
    </row>
    <row r="20" spans="1:17" s="104" customFormat="1" ht="21.75" customHeight="1">
      <c r="A20" s="125" t="s">
        <v>163</v>
      </c>
      <c r="B20" s="120" t="s">
        <v>2</v>
      </c>
      <c r="C20" s="133">
        <v>1013</v>
      </c>
      <c r="D20" s="270">
        <f>14396.8</f>
        <v>14396.8</v>
      </c>
      <c r="E20" s="274">
        <v>14245</v>
      </c>
      <c r="F20" s="270">
        <v>15821.8</v>
      </c>
      <c r="G20" s="134">
        <f t="shared" si="7"/>
        <v>1576.7999999999993</v>
      </c>
      <c r="H20" s="134">
        <f t="shared" si="8"/>
        <v>111.06914706914705</v>
      </c>
      <c r="I20" s="135"/>
      <c r="J20" s="116">
        <v>1023</v>
      </c>
      <c r="K20" s="162">
        <f>SUM(D56,)</f>
        <v>752.1</v>
      </c>
      <c r="L20" s="162">
        <f t="shared" ref="L20:M20" si="10">SUM(E56,)</f>
        <v>920</v>
      </c>
      <c r="M20" s="162">
        <f t="shared" si="10"/>
        <v>1187.3</v>
      </c>
      <c r="N20" s="102"/>
    </row>
    <row r="21" spans="1:17" s="104" customFormat="1" ht="25.5" customHeight="1">
      <c r="A21" s="125" t="s">
        <v>220</v>
      </c>
      <c r="B21" s="120" t="s">
        <v>3</v>
      </c>
      <c r="C21" s="133">
        <v>1014</v>
      </c>
      <c r="D21" s="270">
        <v>592.29999999999995</v>
      </c>
      <c r="E21" s="274">
        <v>750</v>
      </c>
      <c r="F21" s="270">
        <v>1076.8</v>
      </c>
      <c r="G21" s="134">
        <f t="shared" ref="G21" si="11">F21-E21</f>
        <v>326.79999999999995</v>
      </c>
      <c r="H21" s="134">
        <f t="shared" si="8"/>
        <v>143.57333333333332</v>
      </c>
      <c r="I21" s="135"/>
      <c r="J21" s="116">
        <v>1024</v>
      </c>
      <c r="K21" s="161"/>
      <c r="L21" s="162"/>
      <c r="M21" s="162"/>
      <c r="N21" s="160"/>
    </row>
    <row r="22" spans="1:17" s="104" customFormat="1" ht="22.5" customHeight="1">
      <c r="A22" s="125" t="s">
        <v>220</v>
      </c>
      <c r="B22" s="120" t="s">
        <v>79</v>
      </c>
      <c r="C22" s="133">
        <v>1015</v>
      </c>
      <c r="D22" s="270">
        <f>SUM(D23:D49)</f>
        <v>688.09999999999991</v>
      </c>
      <c r="E22" s="270">
        <f>SUM(E23:E46)</f>
        <v>1413.6000000000004</v>
      </c>
      <c r="F22" s="270">
        <f>SUM(F23:F49)</f>
        <v>1826.0000000000002</v>
      </c>
      <c r="G22" s="134">
        <f>F22-E22</f>
        <v>412.39999999999986</v>
      </c>
      <c r="H22" s="134">
        <f>(F22/E22)*100</f>
        <v>129.17374080362194</v>
      </c>
      <c r="J22" s="116">
        <v>1025</v>
      </c>
      <c r="K22" s="162">
        <f>SUM(D57,D104,D124,D191)</f>
        <v>348.8</v>
      </c>
      <c r="L22" s="162">
        <f>SUM(E57,E104,E124,E191)</f>
        <v>312</v>
      </c>
      <c r="M22" s="162">
        <f>SUM(F57,F104,F124,F153,F191)</f>
        <v>298.50000000000006</v>
      </c>
      <c r="N22" s="128"/>
    </row>
    <row r="23" spans="1:17" ht="36.75" customHeight="1">
      <c r="A23" s="126"/>
      <c r="B23" s="25" t="s">
        <v>190</v>
      </c>
      <c r="C23" s="9"/>
      <c r="D23" s="268">
        <v>14.4</v>
      </c>
      <c r="E23" s="272">
        <v>50</v>
      </c>
      <c r="F23" s="268">
        <v>22.2</v>
      </c>
      <c r="G23" s="18">
        <f t="shared" si="7"/>
        <v>-27.8</v>
      </c>
      <c r="H23" s="18">
        <f t="shared" si="8"/>
        <v>44.4</v>
      </c>
      <c r="I23" s="128"/>
      <c r="J23" s="116"/>
      <c r="K23" s="160"/>
      <c r="N23" s="128"/>
    </row>
    <row r="24" spans="1:17" ht="36.75" customHeight="1">
      <c r="A24" s="126"/>
      <c r="B24" s="28" t="s">
        <v>191</v>
      </c>
      <c r="C24" s="9"/>
      <c r="D24" s="268">
        <v>7.8</v>
      </c>
      <c r="E24" s="272">
        <v>4</v>
      </c>
      <c r="F24" s="268">
        <v>12.4</v>
      </c>
      <c r="G24" s="18">
        <f t="shared" si="7"/>
        <v>8.4</v>
      </c>
      <c r="H24" s="18">
        <f t="shared" si="8"/>
        <v>310</v>
      </c>
      <c r="J24" s="116">
        <v>1030</v>
      </c>
      <c r="K24" s="117">
        <f>SUM(D64,D199,D205)</f>
        <v>3995.2</v>
      </c>
      <c r="L24" s="117">
        <f>SUM(E64,E199,E205)</f>
        <v>4004</v>
      </c>
      <c r="M24" s="117">
        <f>SUM(F64,F187,F199,F205)</f>
        <v>4212.8999999999996</v>
      </c>
      <c r="N24" s="128"/>
    </row>
    <row r="25" spans="1:17" ht="22.5" customHeight="1">
      <c r="A25" s="126"/>
      <c r="B25" s="28" t="s">
        <v>117</v>
      </c>
      <c r="C25" s="12"/>
      <c r="D25" s="268">
        <v>22</v>
      </c>
      <c r="E25" s="272">
        <v>22</v>
      </c>
      <c r="F25" s="268">
        <v>25.3</v>
      </c>
      <c r="G25" s="18">
        <f t="shared" si="7"/>
        <v>3.3000000000000007</v>
      </c>
      <c r="H25" s="18">
        <f t="shared" si="8"/>
        <v>115.00000000000001</v>
      </c>
      <c r="J25" s="116">
        <v>1031</v>
      </c>
      <c r="K25" s="160"/>
      <c r="M25" s="160">
        <f>F188</f>
        <v>68</v>
      </c>
      <c r="N25" s="128"/>
    </row>
    <row r="26" spans="1:17" ht="22.5" customHeight="1">
      <c r="A26" s="126"/>
      <c r="B26" s="28" t="s">
        <v>192</v>
      </c>
      <c r="C26" s="12"/>
      <c r="D26" s="268">
        <v>4.5</v>
      </c>
      <c r="E26" s="272">
        <v>7</v>
      </c>
      <c r="F26" s="268">
        <v>4.5999999999999996</v>
      </c>
      <c r="G26" s="18">
        <f t="shared" si="7"/>
        <v>-2.4000000000000004</v>
      </c>
      <c r="H26" s="18">
        <f t="shared" si="8"/>
        <v>65.714285714285708</v>
      </c>
      <c r="I26" s="136"/>
      <c r="J26" s="116">
        <v>1032</v>
      </c>
      <c r="K26" s="160">
        <f>SUM(D65,)</f>
        <v>2025.4</v>
      </c>
      <c r="L26" s="160">
        <f t="shared" ref="L26:M26" si="12">SUM(E65,)</f>
        <v>2050</v>
      </c>
      <c r="M26" s="160">
        <f t="shared" si="12"/>
        <v>2405.1</v>
      </c>
    </row>
    <row r="27" spans="1:17" ht="21.75" customHeight="1">
      <c r="A27" s="126"/>
      <c r="B27" s="28" t="s">
        <v>257</v>
      </c>
      <c r="C27" s="12"/>
      <c r="D27" s="268">
        <v>49.5</v>
      </c>
      <c r="E27" s="272">
        <v>350</v>
      </c>
      <c r="F27" s="268">
        <v>352.1</v>
      </c>
      <c r="G27" s="18">
        <f t="shared" si="7"/>
        <v>2.1000000000000227</v>
      </c>
      <c r="H27" s="18">
        <f t="shared" si="8"/>
        <v>100.6</v>
      </c>
      <c r="I27" s="128"/>
      <c r="J27" s="116">
        <v>1033</v>
      </c>
      <c r="K27" s="160">
        <f>SUM(D66,)</f>
        <v>392.2</v>
      </c>
      <c r="L27" s="160">
        <f t="shared" ref="L27:M27" si="13">SUM(E66,)</f>
        <v>399</v>
      </c>
      <c r="M27" s="160">
        <f t="shared" si="13"/>
        <v>475.4</v>
      </c>
    </row>
    <row r="28" spans="1:17" ht="37.5" customHeight="1">
      <c r="A28" s="126"/>
      <c r="B28" s="28" t="s">
        <v>193</v>
      </c>
      <c r="C28" s="12"/>
      <c r="D28" s="268">
        <v>22</v>
      </c>
      <c r="E28" s="272">
        <v>35</v>
      </c>
      <c r="F28" s="268">
        <v>54</v>
      </c>
      <c r="G28" s="18">
        <f t="shared" si="7"/>
        <v>19</v>
      </c>
      <c r="H28" s="18">
        <f t="shared" si="8"/>
        <v>154.28571428571431</v>
      </c>
      <c r="I28" s="128"/>
      <c r="J28" s="116">
        <v>1034</v>
      </c>
      <c r="K28" s="164">
        <f>SUM(D206)</f>
        <v>1317.2</v>
      </c>
      <c r="L28" s="160">
        <f t="shared" ref="L28:M28" si="14">SUM(E206)</f>
        <v>1280</v>
      </c>
      <c r="M28" s="160">
        <f t="shared" si="14"/>
        <v>857</v>
      </c>
      <c r="N28" s="128"/>
    </row>
    <row r="29" spans="1:17" ht="21" customHeight="1">
      <c r="A29" s="126"/>
      <c r="B29" s="28" t="s">
        <v>120</v>
      </c>
      <c r="C29" s="12"/>
      <c r="D29" s="272">
        <v>20.3</v>
      </c>
      <c r="E29" s="272">
        <v>21</v>
      </c>
      <c r="F29" s="272">
        <v>23.2</v>
      </c>
      <c r="G29" s="18">
        <f t="shared" si="7"/>
        <v>2.1999999999999993</v>
      </c>
      <c r="H29" s="18">
        <f t="shared" si="8"/>
        <v>110.47619047619048</v>
      </c>
      <c r="I29" s="128"/>
      <c r="J29" s="116">
        <v>1035</v>
      </c>
      <c r="K29" s="160">
        <f>SUM(D67,D200,)</f>
        <v>260.39999999999998</v>
      </c>
      <c r="L29" s="160">
        <f>SUM(E67,E200,)</f>
        <v>275</v>
      </c>
      <c r="M29" s="160">
        <f>SUM(F67,F200,)</f>
        <v>407.4</v>
      </c>
      <c r="N29" s="132"/>
    </row>
    <row r="30" spans="1:17" ht="21" customHeight="1">
      <c r="A30" s="126"/>
      <c r="B30" s="223" t="s">
        <v>121</v>
      </c>
      <c r="C30" s="12"/>
      <c r="D30" s="272"/>
      <c r="E30" s="272">
        <v>3</v>
      </c>
      <c r="F30" s="272"/>
      <c r="G30" s="18"/>
      <c r="H30" s="18"/>
      <c r="I30" s="128"/>
      <c r="J30" s="116"/>
      <c r="K30" s="160"/>
      <c r="N30" s="132"/>
    </row>
    <row r="31" spans="1:17" ht="21" customHeight="1">
      <c r="A31" s="126"/>
      <c r="B31" s="28" t="s">
        <v>122</v>
      </c>
      <c r="C31" s="9"/>
      <c r="D31" s="272">
        <v>18.7</v>
      </c>
      <c r="E31" s="272">
        <v>17</v>
      </c>
      <c r="F31" s="272">
        <v>34.6</v>
      </c>
      <c r="G31" s="18">
        <f t="shared" si="7"/>
        <v>17.600000000000001</v>
      </c>
      <c r="H31" s="18">
        <f t="shared" si="8"/>
        <v>203.52941176470586</v>
      </c>
      <c r="J31" s="102"/>
      <c r="K31" s="102"/>
      <c r="L31" s="102"/>
      <c r="M31" s="102"/>
      <c r="N31" s="132"/>
    </row>
    <row r="32" spans="1:17" ht="23.25" customHeight="1">
      <c r="A32" s="126"/>
      <c r="B32" s="137" t="s">
        <v>175</v>
      </c>
      <c r="C32" s="9"/>
      <c r="D32" s="272">
        <v>1.2</v>
      </c>
      <c r="E32" s="272">
        <v>1.2</v>
      </c>
      <c r="F32" s="268"/>
      <c r="G32" s="18">
        <f t="shared" si="7"/>
        <v>-1.2</v>
      </c>
      <c r="H32" s="18">
        <f t="shared" si="8"/>
        <v>0</v>
      </c>
      <c r="J32" s="116">
        <v>9000</v>
      </c>
      <c r="K32" s="160">
        <f t="shared" ref="K32:M33" si="15">K10+K18+K25</f>
        <v>32435.499999999996</v>
      </c>
      <c r="L32" s="160">
        <f t="shared" si="15"/>
        <v>31837.9</v>
      </c>
      <c r="M32" s="160">
        <f t="shared" si="15"/>
        <v>52372.7</v>
      </c>
      <c r="N32" s="118"/>
    </row>
    <row r="33" spans="1:13" ht="22.5" customHeight="1">
      <c r="A33" s="126"/>
      <c r="B33" s="28" t="s">
        <v>124</v>
      </c>
      <c r="C33" s="9"/>
      <c r="D33" s="268">
        <v>31</v>
      </c>
      <c r="E33" s="272">
        <v>20</v>
      </c>
      <c r="F33" s="268">
        <v>11.7</v>
      </c>
      <c r="G33" s="18">
        <f t="shared" si="7"/>
        <v>-8.3000000000000007</v>
      </c>
      <c r="H33" s="18">
        <f t="shared" si="8"/>
        <v>58.5</v>
      </c>
      <c r="J33" s="116">
        <v>9010</v>
      </c>
      <c r="K33" s="160">
        <f t="shared" si="15"/>
        <v>72097.8</v>
      </c>
      <c r="L33" s="160">
        <f t="shared" si="15"/>
        <v>72793.2</v>
      </c>
      <c r="M33" s="160">
        <f t="shared" si="15"/>
        <v>82082.5</v>
      </c>
    </row>
    <row r="34" spans="1:13" ht="22.5" customHeight="1">
      <c r="A34" s="126"/>
      <c r="B34" s="221" t="s">
        <v>312</v>
      </c>
      <c r="C34" s="9"/>
      <c r="D34" s="268">
        <v>4.4000000000000004</v>
      </c>
      <c r="E34" s="272">
        <v>15</v>
      </c>
      <c r="F34" s="268">
        <v>32.1</v>
      </c>
      <c r="G34" s="18">
        <f t="shared" si="7"/>
        <v>17.100000000000001</v>
      </c>
      <c r="H34" s="18">
        <f t="shared" si="8"/>
        <v>214</v>
      </c>
      <c r="J34" s="116"/>
      <c r="K34" s="160"/>
    </row>
    <row r="35" spans="1:13" ht="56.25" customHeight="1">
      <c r="A35" s="126"/>
      <c r="B35" s="28" t="s">
        <v>213</v>
      </c>
      <c r="C35" s="9"/>
      <c r="D35" s="268">
        <v>3.1</v>
      </c>
      <c r="E35" s="272">
        <v>3.1</v>
      </c>
      <c r="F35" s="268"/>
      <c r="G35" s="18">
        <f t="shared" si="7"/>
        <v>-3.1</v>
      </c>
      <c r="H35" s="18">
        <f t="shared" si="8"/>
        <v>0</v>
      </c>
      <c r="J35" s="116">
        <v>9020</v>
      </c>
      <c r="K35" s="160">
        <f t="shared" ref="K35:M37" si="16">K12+K20+K27</f>
        <v>15561.1</v>
      </c>
      <c r="L35" s="160">
        <f t="shared" si="16"/>
        <v>15705.5</v>
      </c>
      <c r="M35" s="160">
        <f t="shared" si="16"/>
        <v>17639.400000000001</v>
      </c>
    </row>
    <row r="36" spans="1:13" ht="22.5" customHeight="1">
      <c r="A36" s="126"/>
      <c r="B36" s="15" t="s">
        <v>174</v>
      </c>
      <c r="C36" s="138"/>
      <c r="D36" s="268"/>
      <c r="E36" s="272">
        <v>12</v>
      </c>
      <c r="F36" s="268"/>
      <c r="G36" s="18">
        <f t="shared" si="7"/>
        <v>-12</v>
      </c>
      <c r="H36" s="18">
        <f t="shared" si="8"/>
        <v>0</v>
      </c>
      <c r="J36" s="116">
        <v>9030</v>
      </c>
      <c r="K36" s="160">
        <f t="shared" si="16"/>
        <v>11193.6</v>
      </c>
      <c r="L36" s="160">
        <f t="shared" si="16"/>
        <v>14030</v>
      </c>
      <c r="M36" s="160">
        <f t="shared" si="16"/>
        <v>13789.199999999999</v>
      </c>
    </row>
    <row r="37" spans="1:13" ht="116.25" customHeight="1">
      <c r="A37" s="126"/>
      <c r="B37" s="15" t="s">
        <v>260</v>
      </c>
      <c r="C37" s="9"/>
      <c r="D37" s="268">
        <v>67.3</v>
      </c>
      <c r="E37" s="272">
        <v>125</v>
      </c>
      <c r="F37" s="268">
        <f>18+36.2+5+5.6+8.4+194.6+27.4</f>
        <v>295.2</v>
      </c>
      <c r="G37" s="18">
        <f t="shared" si="7"/>
        <v>170.2</v>
      </c>
      <c r="H37" s="18">
        <f t="shared" si="8"/>
        <v>236.15999999999997</v>
      </c>
      <c r="J37" s="116">
        <v>9040</v>
      </c>
      <c r="K37" s="160">
        <f t="shared" si="16"/>
        <v>1299.7999999999997</v>
      </c>
      <c r="L37" s="160">
        <f t="shared" si="16"/>
        <v>2219.6000000000004</v>
      </c>
      <c r="M37" s="160">
        <f t="shared" si="16"/>
        <v>2975.3</v>
      </c>
    </row>
    <row r="38" spans="1:13" ht="21.75" customHeight="1">
      <c r="A38" s="126"/>
      <c r="B38" s="242" t="s">
        <v>359</v>
      </c>
      <c r="C38" s="9"/>
      <c r="D38" s="268"/>
      <c r="E38" s="272">
        <v>0.2</v>
      </c>
      <c r="F38" s="268"/>
      <c r="G38" s="18"/>
      <c r="H38" s="18"/>
      <c r="J38" s="116"/>
      <c r="K38" s="160"/>
    </row>
    <row r="39" spans="1:13" ht="19.5" customHeight="1">
      <c r="A39" s="126"/>
      <c r="B39" s="28" t="s">
        <v>259</v>
      </c>
      <c r="C39" s="9"/>
      <c r="D39" s="268">
        <v>1.2</v>
      </c>
      <c r="E39" s="272">
        <v>5</v>
      </c>
      <c r="F39" s="268">
        <v>15.7</v>
      </c>
      <c r="G39" s="18">
        <f t="shared" si="7"/>
        <v>10.7</v>
      </c>
      <c r="H39" s="18">
        <f t="shared" si="8"/>
        <v>313.99999999999994</v>
      </c>
      <c r="J39" s="116">
        <v>9050</v>
      </c>
      <c r="K39" s="117">
        <f>SUM(K32:K37)</f>
        <v>132587.79999999999</v>
      </c>
      <c r="L39" s="117">
        <f>SUM(L32:L37)</f>
        <v>136586.20000000001</v>
      </c>
      <c r="M39" s="117">
        <f>SUM(M32:M37)</f>
        <v>168859.1</v>
      </c>
    </row>
    <row r="40" spans="1:13" ht="20.25" customHeight="1">
      <c r="A40" s="126"/>
      <c r="B40" s="28" t="s">
        <v>146</v>
      </c>
      <c r="C40" s="9"/>
      <c r="D40" s="268">
        <v>0.3</v>
      </c>
      <c r="E40" s="272">
        <v>0.6</v>
      </c>
      <c r="F40" s="268">
        <v>0.5</v>
      </c>
      <c r="G40" s="18">
        <f t="shared" si="7"/>
        <v>-9.9999999999999978E-2</v>
      </c>
      <c r="H40" s="18">
        <f t="shared" si="8"/>
        <v>83.333333333333343</v>
      </c>
    </row>
    <row r="41" spans="1:13" ht="21" customHeight="1">
      <c r="A41" s="126"/>
      <c r="B41" s="28" t="s">
        <v>214</v>
      </c>
      <c r="C41" s="9"/>
      <c r="D41" s="268">
        <v>26.4</v>
      </c>
      <c r="E41" s="272">
        <v>25.6</v>
      </c>
      <c r="F41" s="268">
        <v>54</v>
      </c>
      <c r="G41" s="18">
        <f t="shared" si="7"/>
        <v>28.4</v>
      </c>
      <c r="H41" s="18">
        <f t="shared" si="8"/>
        <v>210.9375</v>
      </c>
    </row>
    <row r="42" spans="1:13" ht="36.75" customHeight="1">
      <c r="A42" s="126"/>
      <c r="B42" s="28" t="s">
        <v>274</v>
      </c>
      <c r="C42" s="9"/>
      <c r="D42" s="268">
        <v>27.5</v>
      </c>
      <c r="E42" s="272">
        <v>169.5</v>
      </c>
      <c r="F42" s="268"/>
      <c r="G42" s="18"/>
      <c r="H42" s="18"/>
    </row>
    <row r="43" spans="1:13" ht="20.25" customHeight="1">
      <c r="A43" s="126"/>
      <c r="B43" s="28" t="s">
        <v>130</v>
      </c>
      <c r="C43" s="9"/>
      <c r="D43" s="268">
        <v>49.5</v>
      </c>
      <c r="E43" s="272">
        <v>258</v>
      </c>
      <c r="F43" s="268">
        <v>194</v>
      </c>
      <c r="G43" s="18">
        <f t="shared" si="7"/>
        <v>-64</v>
      </c>
      <c r="H43" s="18">
        <f t="shared" si="8"/>
        <v>75.193798449612402</v>
      </c>
    </row>
    <row r="44" spans="1:13" ht="20.25" customHeight="1">
      <c r="A44" s="126"/>
      <c r="B44" s="28" t="s">
        <v>365</v>
      </c>
      <c r="C44" s="9"/>
      <c r="D44" s="268"/>
      <c r="E44" s="272"/>
      <c r="F44" s="268">
        <v>18.399999999999999</v>
      </c>
      <c r="G44" s="18">
        <f t="shared" si="7"/>
        <v>18.399999999999999</v>
      </c>
      <c r="H44" s="18"/>
    </row>
    <row r="45" spans="1:13" ht="24" customHeight="1">
      <c r="A45" s="126"/>
      <c r="B45" s="28" t="s">
        <v>160</v>
      </c>
      <c r="C45" s="9"/>
      <c r="D45" s="268">
        <v>228</v>
      </c>
      <c r="E45" s="272">
        <v>250</v>
      </c>
      <c r="F45" s="268">
        <v>290.60000000000002</v>
      </c>
      <c r="G45" s="18">
        <f t="shared" si="7"/>
        <v>40.600000000000023</v>
      </c>
      <c r="H45" s="18">
        <f t="shared" si="8"/>
        <v>116.24000000000001</v>
      </c>
    </row>
    <row r="46" spans="1:13" ht="21" customHeight="1">
      <c r="A46" s="126"/>
      <c r="B46" s="15" t="s">
        <v>219</v>
      </c>
      <c r="C46" s="9"/>
      <c r="D46" s="268">
        <v>8.8000000000000007</v>
      </c>
      <c r="E46" s="272">
        <v>19.399999999999999</v>
      </c>
      <c r="F46" s="268">
        <v>15.3</v>
      </c>
      <c r="G46" s="18">
        <f t="shared" si="7"/>
        <v>-4.0999999999999979</v>
      </c>
      <c r="H46" s="18">
        <f t="shared" si="8"/>
        <v>78.86597938144331</v>
      </c>
    </row>
    <row r="47" spans="1:13" ht="21.75" customHeight="1">
      <c r="A47" s="126"/>
      <c r="B47" s="15" t="s">
        <v>258</v>
      </c>
      <c r="C47" s="9"/>
      <c r="D47" s="268"/>
      <c r="E47" s="268"/>
      <c r="F47" s="268">
        <v>49.1</v>
      </c>
      <c r="G47" s="18"/>
      <c r="H47" s="18"/>
    </row>
    <row r="48" spans="1:13" ht="98.25" customHeight="1">
      <c r="A48" s="126"/>
      <c r="B48" s="15" t="s">
        <v>366</v>
      </c>
      <c r="C48" s="9"/>
      <c r="D48" s="268"/>
      <c r="E48" s="268"/>
      <c r="F48" s="268">
        <f>95.8+163.5+9.7+45.8+6.2</f>
        <v>321</v>
      </c>
      <c r="G48" s="18">
        <f t="shared" si="7"/>
        <v>321</v>
      </c>
      <c r="H48" s="18"/>
    </row>
    <row r="49" spans="1:13" ht="37.5" customHeight="1">
      <c r="A49" s="126"/>
      <c r="B49" s="223" t="s">
        <v>314</v>
      </c>
      <c r="C49" s="9"/>
      <c r="D49" s="268">
        <v>80.2</v>
      </c>
      <c r="E49" s="268"/>
      <c r="F49" s="268"/>
      <c r="G49" s="18"/>
      <c r="H49" s="18"/>
    </row>
    <row r="50" spans="1:13" ht="21.75" customHeight="1">
      <c r="A50" s="122" t="s">
        <v>74</v>
      </c>
      <c r="B50" s="139" t="s">
        <v>77</v>
      </c>
      <c r="C50" s="123">
        <v>1020</v>
      </c>
      <c r="D50" s="269">
        <f>SUM(D51,D55,D56,D57)</f>
        <v>4912.7000000000007</v>
      </c>
      <c r="E50" s="269">
        <f>SUM(E51,E55,E56,E57)</f>
        <v>5806</v>
      </c>
      <c r="F50" s="269">
        <f>SUM(F51,F55,F56,F57)</f>
        <v>7617.3</v>
      </c>
      <c r="G50" s="124">
        <f t="shared" si="7"/>
        <v>1811.3000000000002</v>
      </c>
      <c r="H50" s="124">
        <f t="shared" si="8"/>
        <v>131.1970375473648</v>
      </c>
    </row>
    <row r="51" spans="1:13" s="104" customFormat="1" ht="20.25" customHeight="1">
      <c r="A51" s="125" t="s">
        <v>164</v>
      </c>
      <c r="B51" s="120" t="s">
        <v>89</v>
      </c>
      <c r="C51" s="133">
        <v>1021</v>
      </c>
      <c r="D51" s="270">
        <f>SUM(D52:D53)</f>
        <v>17.399999999999999</v>
      </c>
      <c r="E51" s="270">
        <f>SUM(E52:E54)</f>
        <v>65</v>
      </c>
      <c r="F51" s="270">
        <f>SUM(F52:F54)</f>
        <v>85</v>
      </c>
      <c r="G51" s="134">
        <f t="shared" si="7"/>
        <v>20</v>
      </c>
      <c r="H51" s="134">
        <f t="shared" si="8"/>
        <v>130.76923076923077</v>
      </c>
      <c r="J51" s="116"/>
      <c r="K51" s="117"/>
      <c r="L51" s="117"/>
      <c r="M51" s="117"/>
    </row>
    <row r="52" spans="1:13" ht="20.25" customHeight="1">
      <c r="A52" s="101"/>
      <c r="B52" s="28" t="s">
        <v>140</v>
      </c>
      <c r="C52" s="9"/>
      <c r="D52" s="268">
        <v>11.5</v>
      </c>
      <c r="E52" s="271">
        <v>56</v>
      </c>
      <c r="F52" s="268">
        <v>85</v>
      </c>
      <c r="G52" s="18">
        <f t="shared" si="7"/>
        <v>29</v>
      </c>
      <c r="H52" s="18">
        <f t="shared" si="8"/>
        <v>151.78571428571428</v>
      </c>
    </row>
    <row r="53" spans="1:13" ht="22.5" customHeight="1">
      <c r="A53" s="101"/>
      <c r="B53" s="28" t="s">
        <v>114</v>
      </c>
      <c r="C53" s="9"/>
      <c r="D53" s="268">
        <v>5.9</v>
      </c>
      <c r="E53" s="271">
        <v>7</v>
      </c>
      <c r="F53" s="268"/>
      <c r="G53" s="18">
        <f t="shared" si="7"/>
        <v>-7</v>
      </c>
      <c r="H53" s="154" t="e">
        <f t="shared" ref="H53" si="17">G53/F53*100</f>
        <v>#DIV/0!</v>
      </c>
    </row>
    <row r="54" spans="1:13" ht="37.5" customHeight="1">
      <c r="A54" s="101"/>
      <c r="B54" s="223" t="s">
        <v>360</v>
      </c>
      <c r="C54" s="9"/>
      <c r="D54" s="268"/>
      <c r="E54" s="271">
        <v>2</v>
      </c>
      <c r="F54" s="268"/>
      <c r="G54" s="18"/>
      <c r="H54" s="154"/>
    </row>
    <row r="55" spans="1:13" s="104" customFormat="1" ht="18" customHeight="1">
      <c r="A55" s="125" t="s">
        <v>165</v>
      </c>
      <c r="B55" s="120" t="s">
        <v>1</v>
      </c>
      <c r="C55" s="133">
        <v>1022</v>
      </c>
      <c r="D55" s="270">
        <f>3916.1</f>
        <v>3916.1</v>
      </c>
      <c r="E55" s="275">
        <v>4600</v>
      </c>
      <c r="F55" s="270">
        <v>6121.9</v>
      </c>
      <c r="G55" s="134">
        <f t="shared" si="7"/>
        <v>1521.8999999999996</v>
      </c>
      <c r="H55" s="134">
        <f t="shared" si="8"/>
        <v>133.08478260869566</v>
      </c>
      <c r="J55" s="116"/>
      <c r="K55" s="117"/>
      <c r="L55" s="117"/>
      <c r="M55" s="117"/>
    </row>
    <row r="56" spans="1:13" s="104" customFormat="1" ht="21.75" customHeight="1">
      <c r="A56" s="125" t="s">
        <v>166</v>
      </c>
      <c r="B56" s="120" t="s">
        <v>2</v>
      </c>
      <c r="C56" s="133">
        <v>1023</v>
      </c>
      <c r="D56" s="270">
        <f>752.1</f>
        <v>752.1</v>
      </c>
      <c r="E56" s="275">
        <v>920</v>
      </c>
      <c r="F56" s="270">
        <v>1187.3</v>
      </c>
      <c r="G56" s="134">
        <f t="shared" si="7"/>
        <v>267.29999999999995</v>
      </c>
      <c r="H56" s="134">
        <f t="shared" si="8"/>
        <v>129.05434782608697</v>
      </c>
      <c r="J56" s="116"/>
      <c r="K56" s="117"/>
      <c r="L56" s="117"/>
      <c r="M56" s="117"/>
    </row>
    <row r="57" spans="1:13" s="104" customFormat="1" ht="17.25" customHeight="1">
      <c r="A57" s="125" t="s">
        <v>237</v>
      </c>
      <c r="B57" s="140" t="s">
        <v>151</v>
      </c>
      <c r="C57" s="133">
        <v>1025</v>
      </c>
      <c r="D57" s="276">
        <f>SUM(D58:D63)</f>
        <v>227.10000000000002</v>
      </c>
      <c r="E57" s="276">
        <f>SUM(E58:E62)</f>
        <v>221</v>
      </c>
      <c r="F57" s="276">
        <f>SUM(F58:F63)</f>
        <v>223.10000000000002</v>
      </c>
      <c r="G57" s="134">
        <f t="shared" si="7"/>
        <v>2.1000000000000227</v>
      </c>
      <c r="H57" s="134">
        <f t="shared" si="8"/>
        <v>100.95022624434391</v>
      </c>
      <c r="J57" s="116"/>
      <c r="K57" s="117"/>
      <c r="L57" s="117"/>
      <c r="M57" s="117"/>
    </row>
    <row r="58" spans="1:13" ht="17.25" customHeight="1">
      <c r="A58" s="101"/>
      <c r="B58" s="28" t="s">
        <v>243</v>
      </c>
      <c r="C58" s="12"/>
      <c r="D58" s="268">
        <v>1.2</v>
      </c>
      <c r="E58" s="277"/>
      <c r="F58" s="268">
        <v>3</v>
      </c>
      <c r="G58" s="18">
        <f t="shared" si="7"/>
        <v>3</v>
      </c>
      <c r="H58" s="18"/>
    </row>
    <row r="59" spans="1:13" ht="18" customHeight="1">
      <c r="A59" s="101"/>
      <c r="B59" s="25" t="s">
        <v>116</v>
      </c>
      <c r="C59" s="9"/>
      <c r="D59" s="272">
        <v>43.6</v>
      </c>
      <c r="E59" s="278">
        <v>46</v>
      </c>
      <c r="F59" s="272">
        <v>55.6</v>
      </c>
      <c r="G59" s="18">
        <f t="shared" si="7"/>
        <v>9.6000000000000014</v>
      </c>
      <c r="H59" s="18">
        <f t="shared" si="8"/>
        <v>120.86956521739131</v>
      </c>
    </row>
    <row r="60" spans="1:13" ht="18" customHeight="1">
      <c r="A60" s="101"/>
      <c r="B60" s="28" t="s">
        <v>173</v>
      </c>
      <c r="C60" s="9"/>
      <c r="D60" s="272">
        <v>99.4</v>
      </c>
      <c r="E60" s="278">
        <v>100</v>
      </c>
      <c r="F60" s="272">
        <v>112.8</v>
      </c>
      <c r="G60" s="18">
        <f t="shared" si="7"/>
        <v>12.799999999999997</v>
      </c>
      <c r="H60" s="18">
        <f t="shared" si="8"/>
        <v>112.79999999999998</v>
      </c>
    </row>
    <row r="61" spans="1:13" ht="18" customHeight="1">
      <c r="A61" s="101"/>
      <c r="B61" s="28" t="s">
        <v>148</v>
      </c>
      <c r="C61" s="9"/>
      <c r="D61" s="272">
        <v>28.4</v>
      </c>
      <c r="E61" s="278">
        <v>30</v>
      </c>
      <c r="F61" s="272">
        <v>33.700000000000003</v>
      </c>
      <c r="G61" s="18">
        <f t="shared" ref="G61:G64" si="18">F61-E61</f>
        <v>3.7000000000000028</v>
      </c>
      <c r="H61" s="18">
        <f t="shared" si="8"/>
        <v>112.33333333333336</v>
      </c>
    </row>
    <row r="62" spans="1:13" ht="18" customHeight="1">
      <c r="A62" s="101"/>
      <c r="B62" s="15" t="s">
        <v>149</v>
      </c>
      <c r="C62" s="9"/>
      <c r="D62" s="268">
        <v>28.2</v>
      </c>
      <c r="E62" s="278">
        <v>45</v>
      </c>
      <c r="F62" s="268">
        <v>18</v>
      </c>
      <c r="G62" s="18">
        <f t="shared" si="18"/>
        <v>-27</v>
      </c>
      <c r="H62" s="18">
        <f t="shared" si="8"/>
        <v>40</v>
      </c>
    </row>
    <row r="63" spans="1:13" ht="18" customHeight="1">
      <c r="A63" s="101"/>
      <c r="B63" s="15" t="s">
        <v>239</v>
      </c>
      <c r="C63" s="9"/>
      <c r="D63" s="268">
        <v>26.3</v>
      </c>
      <c r="E63" s="269"/>
      <c r="F63" s="268"/>
      <c r="G63" s="18"/>
      <c r="H63" s="154" t="e">
        <f t="shared" si="8"/>
        <v>#DIV/0!</v>
      </c>
    </row>
    <row r="64" spans="1:13" ht="21" customHeight="1">
      <c r="A64" s="122" t="s">
        <v>167</v>
      </c>
      <c r="B64" s="141" t="s">
        <v>10</v>
      </c>
      <c r="C64" s="123">
        <v>1030</v>
      </c>
      <c r="D64" s="269">
        <f>SUM(D65,D66,D67)</f>
        <v>2678</v>
      </c>
      <c r="E64" s="269">
        <f>SUM(E65,E66,E67)</f>
        <v>2724</v>
      </c>
      <c r="F64" s="269">
        <f>SUM(F65,F66,F67)</f>
        <v>3216.8</v>
      </c>
      <c r="G64" s="124">
        <f t="shared" si="18"/>
        <v>492.80000000000018</v>
      </c>
      <c r="H64" s="124">
        <f t="shared" ref="H64" si="19">(F64/E64)*100</f>
        <v>118.09104258443466</v>
      </c>
      <c r="I64" s="132"/>
    </row>
    <row r="65" spans="1:13" s="104" customFormat="1" ht="23.25" customHeight="1">
      <c r="A65" s="125" t="s">
        <v>238</v>
      </c>
      <c r="B65" s="140" t="s">
        <v>1</v>
      </c>
      <c r="C65" s="133">
        <v>1032</v>
      </c>
      <c r="D65" s="270">
        <v>2025.4</v>
      </c>
      <c r="E65" s="279">
        <v>2050</v>
      </c>
      <c r="F65" s="270">
        <v>2405.1</v>
      </c>
      <c r="G65" s="134">
        <f t="shared" ref="G65" si="20">F65-E65</f>
        <v>355.09999999999991</v>
      </c>
      <c r="H65" s="134">
        <f t="shared" ref="H65" si="21">(F65/E65)*100</f>
        <v>117.32195121951219</v>
      </c>
      <c r="J65" s="116"/>
      <c r="K65" s="117"/>
      <c r="L65" s="117"/>
      <c r="M65" s="117"/>
    </row>
    <row r="66" spans="1:13" s="104" customFormat="1" ht="22.5" customHeight="1">
      <c r="A66" s="125" t="s">
        <v>203</v>
      </c>
      <c r="B66" s="140" t="s">
        <v>205</v>
      </c>
      <c r="C66" s="142">
        <v>1033</v>
      </c>
      <c r="D66" s="270">
        <v>392.2</v>
      </c>
      <c r="E66" s="280">
        <v>399</v>
      </c>
      <c r="F66" s="270">
        <v>475.4</v>
      </c>
      <c r="G66" s="134">
        <f t="shared" ref="G66:G69" si="22">F66-E66</f>
        <v>76.399999999999977</v>
      </c>
      <c r="H66" s="134">
        <f t="shared" ref="H66:H69" si="23">(F66/E66)*100</f>
        <v>119.14786967418544</v>
      </c>
      <c r="J66" s="116"/>
      <c r="K66" s="117"/>
      <c r="L66" s="117"/>
      <c r="M66" s="117"/>
    </row>
    <row r="67" spans="1:13" s="104" customFormat="1" ht="21" customHeight="1">
      <c r="A67" s="125" t="s">
        <v>204</v>
      </c>
      <c r="B67" s="120" t="s">
        <v>199</v>
      </c>
      <c r="C67" s="133">
        <v>1035</v>
      </c>
      <c r="D67" s="270">
        <f>D69+D70+D68</f>
        <v>260.39999999999998</v>
      </c>
      <c r="E67" s="270">
        <f t="shared" ref="E67" si="24">E69+E70</f>
        <v>275</v>
      </c>
      <c r="F67" s="270">
        <f>F69+F70</f>
        <v>336.3</v>
      </c>
      <c r="G67" s="134">
        <f t="shared" si="22"/>
        <v>61.300000000000011</v>
      </c>
      <c r="H67" s="134">
        <f t="shared" si="23"/>
        <v>122.2909090909091</v>
      </c>
      <c r="J67" s="116"/>
      <c r="K67" s="117"/>
      <c r="L67" s="117"/>
      <c r="M67" s="117"/>
    </row>
    <row r="68" spans="1:13" s="104" customFormat="1" ht="21" customHeight="1">
      <c r="A68" s="125"/>
      <c r="B68" s="221" t="s">
        <v>316</v>
      </c>
      <c r="C68" s="133"/>
      <c r="D68" s="281">
        <v>8.5</v>
      </c>
      <c r="E68" s="270"/>
      <c r="F68" s="270"/>
      <c r="G68" s="134"/>
      <c r="H68" s="134"/>
      <c r="J68" s="116"/>
      <c r="K68" s="117"/>
      <c r="L68" s="117"/>
      <c r="M68" s="117"/>
    </row>
    <row r="69" spans="1:13" ht="23.25" customHeight="1">
      <c r="A69" s="101"/>
      <c r="B69" s="28" t="s">
        <v>131</v>
      </c>
      <c r="C69" s="9"/>
      <c r="D69" s="268">
        <v>109.2</v>
      </c>
      <c r="E69" s="272">
        <v>125</v>
      </c>
      <c r="F69" s="268">
        <v>84.3</v>
      </c>
      <c r="G69" s="18">
        <f t="shared" si="22"/>
        <v>-40.700000000000003</v>
      </c>
      <c r="H69" s="18">
        <f t="shared" si="23"/>
        <v>67.44</v>
      </c>
    </row>
    <row r="70" spans="1:13" ht="24.75" customHeight="1">
      <c r="A70" s="101"/>
      <c r="B70" s="25" t="s">
        <v>135</v>
      </c>
      <c r="C70" s="9"/>
      <c r="D70" s="268">
        <v>142.69999999999999</v>
      </c>
      <c r="E70" s="272">
        <v>150</v>
      </c>
      <c r="F70" s="268">
        <v>252</v>
      </c>
      <c r="G70" s="18">
        <f t="shared" ref="G70:G75" si="25">F70-E70</f>
        <v>102</v>
      </c>
      <c r="H70" s="18">
        <f t="shared" ref="H70:H75" si="26">(F70/E70)*100</f>
        <v>168</v>
      </c>
    </row>
    <row r="71" spans="1:13" ht="101.25" customHeight="1">
      <c r="A71" s="215" t="s">
        <v>78</v>
      </c>
      <c r="B71" s="213" t="s">
        <v>275</v>
      </c>
      <c r="C71" s="9"/>
      <c r="D71" s="268"/>
      <c r="E71" s="282">
        <f>E73</f>
        <v>588.5</v>
      </c>
      <c r="F71" s="282">
        <f>F73</f>
        <v>727.1</v>
      </c>
      <c r="G71" s="18">
        <f t="shared" si="25"/>
        <v>138.60000000000002</v>
      </c>
      <c r="H71" s="18">
        <f t="shared" si="26"/>
        <v>123.55140186915887</v>
      </c>
    </row>
    <row r="72" spans="1:13" ht="21" customHeight="1">
      <c r="A72" s="151"/>
      <c r="B72" s="120" t="s">
        <v>72</v>
      </c>
      <c r="C72" s="9"/>
      <c r="D72" s="268"/>
      <c r="E72" s="272"/>
      <c r="F72" s="268"/>
      <c r="G72" s="18"/>
      <c r="H72" s="18"/>
    </row>
    <row r="73" spans="1:13" ht="39" customHeight="1">
      <c r="A73" s="152" t="s">
        <v>158</v>
      </c>
      <c r="B73" s="19" t="s">
        <v>76</v>
      </c>
      <c r="C73" s="123">
        <v>1010</v>
      </c>
      <c r="D73" s="268"/>
      <c r="E73" s="283">
        <f t="shared" ref="E73:F73" si="27">E74+E75</f>
        <v>588.5</v>
      </c>
      <c r="F73" s="283">
        <f t="shared" si="27"/>
        <v>727.1</v>
      </c>
      <c r="G73" s="124">
        <f t="shared" si="25"/>
        <v>138.60000000000002</v>
      </c>
      <c r="H73" s="203">
        <f t="shared" si="26"/>
        <v>123.55140186915887</v>
      </c>
    </row>
    <row r="74" spans="1:13" ht="24.75" customHeight="1">
      <c r="A74" s="153" t="s">
        <v>209</v>
      </c>
      <c r="B74" s="120" t="s">
        <v>1</v>
      </c>
      <c r="C74" s="133">
        <v>1012</v>
      </c>
      <c r="D74" s="270"/>
      <c r="E74" s="274">
        <v>482.4</v>
      </c>
      <c r="F74" s="270">
        <v>596</v>
      </c>
      <c r="G74" s="134">
        <f t="shared" si="25"/>
        <v>113.60000000000002</v>
      </c>
      <c r="H74" s="156">
        <f t="shared" si="26"/>
        <v>123.54892205638475</v>
      </c>
    </row>
    <row r="75" spans="1:13" ht="22.5" customHeight="1">
      <c r="A75" s="153" t="s">
        <v>168</v>
      </c>
      <c r="B75" s="120" t="s">
        <v>2</v>
      </c>
      <c r="C75" s="133">
        <v>1013</v>
      </c>
      <c r="D75" s="270"/>
      <c r="E75" s="274">
        <v>106.1</v>
      </c>
      <c r="F75" s="270">
        <v>131.1</v>
      </c>
      <c r="G75" s="134">
        <f t="shared" si="25"/>
        <v>25</v>
      </c>
      <c r="H75" s="156">
        <f t="shared" si="26"/>
        <v>123.56267672007539</v>
      </c>
    </row>
    <row r="76" spans="1:13" ht="64.5" customHeight="1">
      <c r="A76" s="101" t="s">
        <v>230</v>
      </c>
      <c r="B76" s="216" t="s">
        <v>188</v>
      </c>
      <c r="C76" s="9"/>
      <c r="D76" s="267">
        <f t="shared" ref="D76" si="28">SUM(D78)</f>
        <v>66.400000000000006</v>
      </c>
      <c r="E76" s="267">
        <f t="shared" ref="E76:F76" si="29">SUM(E78)</f>
        <v>196.20000000000002</v>
      </c>
      <c r="F76" s="267">
        <f t="shared" si="29"/>
        <v>132.80000000000001</v>
      </c>
      <c r="G76" s="64">
        <f t="shared" ref="G76:G80" si="30">F76-E76</f>
        <v>-63.400000000000006</v>
      </c>
      <c r="H76" s="64">
        <f t="shared" ref="H76:H80" si="31">(F76/E76)*100</f>
        <v>67.686034658511716</v>
      </c>
    </row>
    <row r="77" spans="1:13" ht="24" customHeight="1">
      <c r="A77" s="101"/>
      <c r="B77" s="120" t="s">
        <v>72</v>
      </c>
      <c r="C77" s="9"/>
      <c r="D77" s="267"/>
      <c r="E77" s="267"/>
      <c r="F77" s="267"/>
      <c r="G77" s="64"/>
      <c r="H77" s="64"/>
    </row>
    <row r="78" spans="1:13" ht="40.5" customHeight="1">
      <c r="A78" s="122" t="s">
        <v>231</v>
      </c>
      <c r="B78" s="19" t="s">
        <v>76</v>
      </c>
      <c r="C78" s="123">
        <v>1010</v>
      </c>
      <c r="D78" s="269">
        <f>SUM(D79,D84,D85)</f>
        <v>66.400000000000006</v>
      </c>
      <c r="E78" s="269">
        <f>SUM(E79,E84,E85)</f>
        <v>196.20000000000002</v>
      </c>
      <c r="F78" s="269">
        <f>SUM(F79,F84,F85)</f>
        <v>132.80000000000001</v>
      </c>
      <c r="G78" s="124">
        <f t="shared" si="30"/>
        <v>-63.400000000000006</v>
      </c>
      <c r="H78" s="124">
        <f t="shared" si="31"/>
        <v>67.686034658511716</v>
      </c>
    </row>
    <row r="79" spans="1:13" s="104" customFormat="1" ht="22.5" customHeight="1">
      <c r="A79" s="125" t="s">
        <v>232</v>
      </c>
      <c r="B79" s="120" t="s">
        <v>206</v>
      </c>
      <c r="C79" s="133">
        <v>1011</v>
      </c>
      <c r="D79" s="269">
        <f>D80+D81+D82+D83</f>
        <v>5.8</v>
      </c>
      <c r="E79" s="269">
        <f t="shared" ref="E79:F79" si="32">E80+E81+E82+E83</f>
        <v>0</v>
      </c>
      <c r="F79" s="269">
        <f t="shared" si="32"/>
        <v>1</v>
      </c>
      <c r="G79" s="124">
        <f t="shared" si="30"/>
        <v>1</v>
      </c>
      <c r="H79" s="158" t="e">
        <f t="shared" si="31"/>
        <v>#DIV/0!</v>
      </c>
      <c r="J79" s="116"/>
      <c r="K79" s="117"/>
      <c r="L79" s="117"/>
      <c r="M79" s="117"/>
    </row>
    <row r="80" spans="1:13" ht="21" customHeight="1">
      <c r="A80" s="126"/>
      <c r="B80" s="15" t="s">
        <v>125</v>
      </c>
      <c r="C80" s="9"/>
      <c r="D80" s="268">
        <v>3.2</v>
      </c>
      <c r="E80" s="268"/>
      <c r="F80" s="268">
        <v>0.5</v>
      </c>
      <c r="G80" s="18">
        <f t="shared" si="30"/>
        <v>0.5</v>
      </c>
      <c r="H80" s="154" t="e">
        <f t="shared" si="31"/>
        <v>#DIV/0!</v>
      </c>
    </row>
    <row r="81" spans="1:13" ht="21" customHeight="1">
      <c r="A81" s="126"/>
      <c r="B81" s="223" t="s">
        <v>126</v>
      </c>
      <c r="C81" s="9"/>
      <c r="D81" s="268">
        <v>0.3</v>
      </c>
      <c r="E81" s="268"/>
      <c r="F81" s="268">
        <v>0.1</v>
      </c>
      <c r="G81" s="18"/>
      <c r="H81" s="154"/>
    </row>
    <row r="82" spans="1:13" ht="21" customHeight="1">
      <c r="A82" s="126"/>
      <c r="B82" s="223" t="s">
        <v>127</v>
      </c>
      <c r="C82" s="9"/>
      <c r="D82" s="268">
        <v>2.2000000000000002</v>
      </c>
      <c r="E82" s="268"/>
      <c r="F82" s="268">
        <v>0.4</v>
      </c>
      <c r="G82" s="18"/>
      <c r="H82" s="154"/>
    </row>
    <row r="83" spans="1:13" ht="21" customHeight="1">
      <c r="A83" s="126"/>
      <c r="B83" s="223" t="s">
        <v>128</v>
      </c>
      <c r="C83" s="9"/>
      <c r="D83" s="268">
        <v>0.1</v>
      </c>
      <c r="E83" s="268"/>
      <c r="F83" s="268"/>
      <c r="G83" s="18"/>
      <c r="H83" s="154"/>
    </row>
    <row r="84" spans="1:13" ht="24.75" customHeight="1">
      <c r="A84" s="125" t="s">
        <v>280</v>
      </c>
      <c r="B84" s="140" t="s">
        <v>1</v>
      </c>
      <c r="C84" s="133">
        <v>1012</v>
      </c>
      <c r="D84" s="270">
        <f>90.9-50.3</f>
        <v>40.600000000000009</v>
      </c>
      <c r="E84" s="274">
        <v>160.80000000000001</v>
      </c>
      <c r="F84" s="270">
        <v>108</v>
      </c>
      <c r="G84" s="134">
        <f>F84-E84</f>
        <v>-52.800000000000011</v>
      </c>
      <c r="H84" s="134">
        <f>(F84/E84)*100</f>
        <v>67.164179104477611</v>
      </c>
    </row>
    <row r="85" spans="1:13" ht="24.75" customHeight="1">
      <c r="A85" s="125" t="s">
        <v>281</v>
      </c>
      <c r="B85" s="140" t="s">
        <v>2</v>
      </c>
      <c r="C85" s="133">
        <v>1013</v>
      </c>
      <c r="D85" s="270">
        <v>20</v>
      </c>
      <c r="E85" s="274">
        <v>35.4</v>
      </c>
      <c r="F85" s="270">
        <v>23.8</v>
      </c>
      <c r="G85" s="134">
        <f>F85-E85</f>
        <v>-11.599999999999998</v>
      </c>
      <c r="H85" s="134">
        <f>(F85/E85)*100</f>
        <v>67.2316384180791</v>
      </c>
    </row>
    <row r="86" spans="1:13" ht="60.75" customHeight="1">
      <c r="A86" s="101" t="s">
        <v>86</v>
      </c>
      <c r="B86" s="213" t="s">
        <v>176</v>
      </c>
      <c r="C86" s="12"/>
      <c r="D86" s="267">
        <f>D88</f>
        <v>25</v>
      </c>
      <c r="E86" s="49">
        <f>E88</f>
        <v>0</v>
      </c>
      <c r="F86" s="49">
        <f>F88</f>
        <v>1.7</v>
      </c>
      <c r="G86" s="64">
        <f t="shared" ref="G86" si="33">F86-E86</f>
        <v>1.7</v>
      </c>
      <c r="H86" s="18"/>
    </row>
    <row r="87" spans="1:13" ht="25.5" customHeight="1">
      <c r="A87" s="101"/>
      <c r="B87" s="120" t="s">
        <v>72</v>
      </c>
      <c r="C87" s="12"/>
      <c r="D87" s="267"/>
      <c r="E87" s="49"/>
      <c r="F87" s="49"/>
      <c r="G87" s="64"/>
      <c r="H87" s="18"/>
    </row>
    <row r="88" spans="1:13" ht="39.75" customHeight="1">
      <c r="A88" s="122" t="s">
        <v>169</v>
      </c>
      <c r="B88" s="139" t="s">
        <v>152</v>
      </c>
      <c r="C88" s="123">
        <v>1010</v>
      </c>
      <c r="D88" s="269">
        <f t="shared" ref="D88:F88" si="34">D89</f>
        <v>25</v>
      </c>
      <c r="E88" s="284">
        <f t="shared" si="34"/>
        <v>0</v>
      </c>
      <c r="F88" s="284">
        <f t="shared" si="34"/>
        <v>1.7</v>
      </c>
      <c r="G88" s="124">
        <f>F88-E88</f>
        <v>1.7</v>
      </c>
      <c r="H88" s="158" t="e">
        <f>(F88/E88)*100</f>
        <v>#DIV/0!</v>
      </c>
    </row>
    <row r="89" spans="1:13" s="104" customFormat="1" ht="23.25" customHeight="1">
      <c r="A89" s="125" t="s">
        <v>170</v>
      </c>
      <c r="B89" s="120" t="s">
        <v>89</v>
      </c>
      <c r="C89" s="133">
        <v>1011</v>
      </c>
      <c r="D89" s="270">
        <f>D90+D91</f>
        <v>25</v>
      </c>
      <c r="E89" s="285">
        <f>SUM(E91:E91)</f>
        <v>0</v>
      </c>
      <c r="F89" s="285">
        <f>SUM(F91:F91)</f>
        <v>1.7</v>
      </c>
      <c r="G89" s="134">
        <f t="shared" ref="G89:G91" si="35">F89-E89</f>
        <v>1.7</v>
      </c>
      <c r="H89" s="155" t="e">
        <f t="shared" ref="H89:H91" si="36">(F89/E89)*100</f>
        <v>#DIV/0!</v>
      </c>
      <c r="J89" s="116"/>
      <c r="K89" s="117"/>
      <c r="L89" s="117"/>
      <c r="M89" s="117"/>
    </row>
    <row r="90" spans="1:13" s="104" customFormat="1" ht="36" customHeight="1">
      <c r="A90" s="101"/>
      <c r="B90" s="15" t="s">
        <v>236</v>
      </c>
      <c r="C90" s="12"/>
      <c r="D90" s="268">
        <v>0.6</v>
      </c>
      <c r="E90" s="49"/>
      <c r="F90" s="268"/>
      <c r="G90" s="64">
        <f t="shared" si="35"/>
        <v>0</v>
      </c>
      <c r="H90" s="154" t="e">
        <f t="shared" si="36"/>
        <v>#DIV/0!</v>
      </c>
      <c r="J90" s="116"/>
      <c r="K90" s="117"/>
      <c r="L90" s="117"/>
      <c r="M90" s="117"/>
    </row>
    <row r="91" spans="1:13" ht="24" customHeight="1">
      <c r="A91" s="126"/>
      <c r="B91" s="25" t="s">
        <v>111</v>
      </c>
      <c r="C91" s="9"/>
      <c r="D91" s="268">
        <v>24.4</v>
      </c>
      <c r="E91" s="285"/>
      <c r="F91" s="268">
        <v>1.7</v>
      </c>
      <c r="G91" s="18">
        <f t="shared" si="35"/>
        <v>1.7</v>
      </c>
      <c r="H91" s="154" t="e">
        <f t="shared" si="36"/>
        <v>#DIV/0!</v>
      </c>
    </row>
    <row r="92" spans="1:13" ht="61.5" customHeight="1">
      <c r="A92" s="12" t="s">
        <v>87</v>
      </c>
      <c r="B92" s="217" t="s">
        <v>317</v>
      </c>
      <c r="C92" s="12"/>
      <c r="D92" s="267">
        <f>D94+D103</f>
        <v>10705.099999999999</v>
      </c>
      <c r="E92" s="267">
        <f>SUM(E94,E103)</f>
        <v>7679.8</v>
      </c>
      <c r="F92" s="267">
        <f>SUM(F94,F103)</f>
        <v>7782.0999999999995</v>
      </c>
      <c r="G92" s="64">
        <f t="shared" ref="G92:G120" si="37">F92-E92</f>
        <v>102.29999999999927</v>
      </c>
      <c r="H92" s="64">
        <f t="shared" ref="H92:H115" si="38">(F92/E92)*100</f>
        <v>101.33206593921716</v>
      </c>
      <c r="K92" s="160"/>
    </row>
    <row r="93" spans="1:13" ht="26.25" customHeight="1">
      <c r="A93" s="9"/>
      <c r="B93" s="143" t="s">
        <v>72</v>
      </c>
      <c r="C93" s="9"/>
      <c r="D93" s="268"/>
      <c r="E93" s="268"/>
      <c r="F93" s="268"/>
      <c r="G93" s="18">
        <f t="shared" si="37"/>
        <v>0</v>
      </c>
      <c r="H93" s="18"/>
    </row>
    <row r="94" spans="1:13" ht="39" customHeight="1">
      <c r="A94" s="122" t="s">
        <v>90</v>
      </c>
      <c r="B94" s="19" t="s">
        <v>76</v>
      </c>
      <c r="C94" s="123">
        <v>1010</v>
      </c>
      <c r="D94" s="269">
        <f>SUM(D95,)</f>
        <v>10585.099999999999</v>
      </c>
      <c r="E94" s="269">
        <f t="shared" ref="E94:F94" si="39">SUM(E95,)</f>
        <v>7591.1</v>
      </c>
      <c r="F94" s="269">
        <f t="shared" si="39"/>
        <v>7713.2999999999993</v>
      </c>
      <c r="G94" s="124">
        <f t="shared" si="37"/>
        <v>122.19999999999891</v>
      </c>
      <c r="H94" s="124">
        <f t="shared" si="38"/>
        <v>101.60977987379958</v>
      </c>
    </row>
    <row r="95" spans="1:13" s="104" customFormat="1" ht="25.5" customHeight="1">
      <c r="A95" s="125" t="s">
        <v>177</v>
      </c>
      <c r="B95" s="120" t="s">
        <v>89</v>
      </c>
      <c r="C95" s="133">
        <v>1011</v>
      </c>
      <c r="D95" s="270">
        <f>SUM(D96:D102)</f>
        <v>10585.099999999999</v>
      </c>
      <c r="E95" s="270">
        <f>SUM(E96:E102)</f>
        <v>7591.1</v>
      </c>
      <c r="F95" s="270">
        <f>SUM(F96:F102)</f>
        <v>7713.2999999999993</v>
      </c>
      <c r="G95" s="134">
        <f t="shared" si="37"/>
        <v>122.19999999999891</v>
      </c>
      <c r="H95" s="134">
        <f t="shared" si="38"/>
        <v>101.60977987379958</v>
      </c>
      <c r="J95" s="116"/>
      <c r="K95" s="117"/>
      <c r="L95" s="117"/>
      <c r="M95" s="117"/>
    </row>
    <row r="96" spans="1:13" ht="23.25" customHeight="1">
      <c r="A96" s="126"/>
      <c r="B96" s="15" t="s">
        <v>111</v>
      </c>
      <c r="C96" s="9"/>
      <c r="D96" s="268">
        <v>3979.5</v>
      </c>
      <c r="E96" s="272">
        <v>600</v>
      </c>
      <c r="F96" s="268">
        <v>577.6</v>
      </c>
      <c r="G96" s="18">
        <f t="shared" si="37"/>
        <v>-22.399999999999977</v>
      </c>
      <c r="H96" s="18">
        <f t="shared" si="38"/>
        <v>96.266666666666666</v>
      </c>
    </row>
    <row r="97" spans="1:13" ht="20.25" customHeight="1">
      <c r="A97" s="126"/>
      <c r="B97" s="223" t="s">
        <v>361</v>
      </c>
      <c r="C97" s="9"/>
      <c r="D97" s="268"/>
      <c r="E97" s="272">
        <v>360</v>
      </c>
      <c r="F97" s="268"/>
      <c r="G97" s="18"/>
      <c r="H97" s="18"/>
    </row>
    <row r="98" spans="1:13" ht="21" customHeight="1">
      <c r="A98" s="126"/>
      <c r="B98" s="25" t="s">
        <v>134</v>
      </c>
      <c r="C98" s="9"/>
      <c r="D98" s="268">
        <v>193.1</v>
      </c>
      <c r="E98" s="272">
        <v>191.7</v>
      </c>
      <c r="F98" s="268">
        <v>136.9</v>
      </c>
      <c r="G98" s="18">
        <f t="shared" si="37"/>
        <v>-54.799999999999983</v>
      </c>
      <c r="H98" s="18">
        <f t="shared" si="38"/>
        <v>71.413667188315074</v>
      </c>
    </row>
    <row r="99" spans="1:13" ht="20.25" customHeight="1">
      <c r="A99" s="126"/>
      <c r="B99" s="25" t="s">
        <v>125</v>
      </c>
      <c r="C99" s="9"/>
      <c r="D99" s="268">
        <v>4071.4</v>
      </c>
      <c r="E99" s="272">
        <v>3085.4</v>
      </c>
      <c r="F99" s="268">
        <v>3662.7</v>
      </c>
      <c r="G99" s="18">
        <f t="shared" si="37"/>
        <v>577.29999999999973</v>
      </c>
      <c r="H99" s="18">
        <f t="shared" si="38"/>
        <v>118.71070201594607</v>
      </c>
      <c r="I99" s="132">
        <f>F99+F105</f>
        <v>3705.8999999999996</v>
      </c>
    </row>
    <row r="100" spans="1:13" ht="20.25" customHeight="1">
      <c r="A100" s="126"/>
      <c r="B100" s="25" t="s">
        <v>126</v>
      </c>
      <c r="C100" s="9"/>
      <c r="D100" s="268">
        <v>215.5</v>
      </c>
      <c r="E100" s="272">
        <v>216</v>
      </c>
      <c r="F100" s="268">
        <v>232.1</v>
      </c>
      <c r="G100" s="18">
        <f t="shared" si="37"/>
        <v>16.099999999999994</v>
      </c>
      <c r="H100" s="18">
        <f t="shared" si="38"/>
        <v>107.45370370370371</v>
      </c>
      <c r="I100" s="132">
        <f>F100+F106</f>
        <v>234.4</v>
      </c>
    </row>
    <row r="101" spans="1:13" ht="20.25" customHeight="1">
      <c r="A101" s="126"/>
      <c r="B101" s="25" t="s">
        <v>127</v>
      </c>
      <c r="C101" s="9"/>
      <c r="D101" s="268">
        <v>2036.3</v>
      </c>
      <c r="E101" s="272">
        <v>3037</v>
      </c>
      <c r="F101" s="268">
        <v>2953.6</v>
      </c>
      <c r="G101" s="18">
        <f t="shared" si="37"/>
        <v>-83.400000000000091</v>
      </c>
      <c r="H101" s="18">
        <f t="shared" si="38"/>
        <v>97.253868949621335</v>
      </c>
      <c r="I101" s="132">
        <f>F101+F107</f>
        <v>2975.1</v>
      </c>
    </row>
    <row r="102" spans="1:13" ht="22.5" customHeight="1">
      <c r="A102" s="126"/>
      <c r="B102" s="25" t="s">
        <v>128</v>
      </c>
      <c r="C102" s="9"/>
      <c r="D102" s="268">
        <v>89.3</v>
      </c>
      <c r="E102" s="272">
        <v>101</v>
      </c>
      <c r="F102" s="268">
        <v>150.4</v>
      </c>
      <c r="G102" s="18">
        <f t="shared" si="37"/>
        <v>49.400000000000006</v>
      </c>
      <c r="H102" s="18">
        <f t="shared" si="38"/>
        <v>148.9108910891089</v>
      </c>
      <c r="I102" s="132">
        <f>F102+F108</f>
        <v>152.20000000000002</v>
      </c>
    </row>
    <row r="103" spans="1:13" ht="20.100000000000001" customHeight="1">
      <c r="A103" s="122" t="s">
        <v>249</v>
      </c>
      <c r="B103" s="139" t="s">
        <v>77</v>
      </c>
      <c r="C103" s="123">
        <v>1020</v>
      </c>
      <c r="D103" s="269">
        <f t="shared" ref="D103:F103" si="40">SUM(D104)</f>
        <v>120</v>
      </c>
      <c r="E103" s="269">
        <f t="shared" si="40"/>
        <v>88.7</v>
      </c>
      <c r="F103" s="269">
        <f t="shared" si="40"/>
        <v>68.8</v>
      </c>
      <c r="G103" s="124">
        <f t="shared" si="37"/>
        <v>-19.900000000000006</v>
      </c>
      <c r="H103" s="124">
        <f t="shared" si="38"/>
        <v>77.564825253664026</v>
      </c>
    </row>
    <row r="104" spans="1:13" s="104" customFormat="1" ht="21" customHeight="1">
      <c r="A104" s="125" t="s">
        <v>250</v>
      </c>
      <c r="B104" s="140" t="s">
        <v>151</v>
      </c>
      <c r="C104" s="133">
        <v>1025</v>
      </c>
      <c r="D104" s="286">
        <f t="shared" ref="D104:F104" si="41">SUM(D105:D108)</f>
        <v>120</v>
      </c>
      <c r="E104" s="286">
        <f>E105+E106+E107+E108</f>
        <v>88.7</v>
      </c>
      <c r="F104" s="286">
        <f t="shared" si="41"/>
        <v>68.8</v>
      </c>
      <c r="G104" s="134">
        <f t="shared" si="37"/>
        <v>-19.900000000000006</v>
      </c>
      <c r="H104" s="134">
        <f t="shared" si="38"/>
        <v>77.564825253664026</v>
      </c>
      <c r="J104" s="116"/>
      <c r="K104" s="117"/>
      <c r="L104" s="117"/>
      <c r="M104" s="117"/>
    </row>
    <row r="105" spans="1:13" ht="21" customHeight="1">
      <c r="A105" s="126"/>
      <c r="B105" s="25" t="s">
        <v>125</v>
      </c>
      <c r="C105" s="9"/>
      <c r="D105" s="268">
        <v>89.8</v>
      </c>
      <c r="E105" s="272">
        <v>63</v>
      </c>
      <c r="F105" s="268">
        <v>43.2</v>
      </c>
      <c r="G105" s="18">
        <f t="shared" si="37"/>
        <v>-19.799999999999997</v>
      </c>
      <c r="H105" s="18">
        <f t="shared" si="38"/>
        <v>68.571428571428569</v>
      </c>
    </row>
    <row r="106" spans="1:13" ht="21" customHeight="1">
      <c r="A106" s="126"/>
      <c r="B106" s="25" t="s">
        <v>126</v>
      </c>
      <c r="C106" s="9"/>
      <c r="D106" s="268">
        <v>2.4</v>
      </c>
      <c r="E106" s="272">
        <v>2.2000000000000002</v>
      </c>
      <c r="F106" s="268">
        <v>2.2999999999999998</v>
      </c>
      <c r="G106" s="18">
        <f t="shared" si="37"/>
        <v>9.9999999999999645E-2</v>
      </c>
      <c r="H106" s="18">
        <f t="shared" si="38"/>
        <v>104.54545454545452</v>
      </c>
    </row>
    <row r="107" spans="1:13" ht="20.25" customHeight="1">
      <c r="A107" s="126"/>
      <c r="B107" s="25" t="s">
        <v>127</v>
      </c>
      <c r="C107" s="9"/>
      <c r="D107" s="268">
        <v>26.5</v>
      </c>
      <c r="E107" s="272">
        <v>22.3</v>
      </c>
      <c r="F107" s="268">
        <v>21.5</v>
      </c>
      <c r="G107" s="18">
        <f t="shared" si="37"/>
        <v>-0.80000000000000071</v>
      </c>
      <c r="H107" s="18">
        <f t="shared" si="38"/>
        <v>96.412556053811656</v>
      </c>
    </row>
    <row r="108" spans="1:13" ht="21" customHeight="1">
      <c r="A108" s="126"/>
      <c r="B108" s="25" t="s">
        <v>128</v>
      </c>
      <c r="C108" s="9"/>
      <c r="D108" s="268">
        <v>1.3</v>
      </c>
      <c r="E108" s="272">
        <v>1.2</v>
      </c>
      <c r="F108" s="268">
        <v>1.8</v>
      </c>
      <c r="G108" s="18">
        <f t="shared" si="37"/>
        <v>0.60000000000000009</v>
      </c>
      <c r="H108" s="18">
        <f t="shared" si="38"/>
        <v>150</v>
      </c>
    </row>
    <row r="109" spans="1:13" ht="50.25" customHeight="1">
      <c r="A109" s="101" t="s">
        <v>108</v>
      </c>
      <c r="B109" s="213" t="s">
        <v>278</v>
      </c>
      <c r="C109" s="12"/>
      <c r="D109" s="267">
        <f>D111</f>
        <v>0</v>
      </c>
      <c r="E109" s="282">
        <f t="shared" ref="E109:F109" si="42">E111</f>
        <v>0</v>
      </c>
      <c r="F109" s="267">
        <f t="shared" si="42"/>
        <v>5549.3</v>
      </c>
      <c r="G109" s="64">
        <f t="shared" ref="G109:G112" si="43">F109-E109</f>
        <v>5549.3</v>
      </c>
      <c r="H109" s="157" t="e">
        <f t="shared" ref="H109" si="44">(F109/E109)*100</f>
        <v>#DIV/0!</v>
      </c>
    </row>
    <row r="110" spans="1:13" ht="26.25" customHeight="1">
      <c r="A110" s="126"/>
      <c r="B110" s="140" t="s">
        <v>72</v>
      </c>
      <c r="C110" s="9"/>
      <c r="D110" s="268"/>
      <c r="E110" s="272"/>
      <c r="F110" s="268"/>
      <c r="G110" s="18">
        <f t="shared" si="43"/>
        <v>0</v>
      </c>
      <c r="H110" s="18"/>
    </row>
    <row r="111" spans="1:13" ht="45.75" customHeight="1">
      <c r="A111" s="122" t="s">
        <v>88</v>
      </c>
      <c r="B111" s="139" t="s">
        <v>76</v>
      </c>
      <c r="C111" s="123">
        <v>1010</v>
      </c>
      <c r="D111" s="269">
        <f>D112</f>
        <v>0</v>
      </c>
      <c r="E111" s="283">
        <f t="shared" ref="E111:F111" si="45">E112</f>
        <v>0</v>
      </c>
      <c r="F111" s="269">
        <f t="shared" si="45"/>
        <v>5549.3</v>
      </c>
      <c r="G111" s="124">
        <f t="shared" si="43"/>
        <v>5549.3</v>
      </c>
      <c r="H111" s="158" t="e">
        <f t="shared" ref="H111:H112" si="46">(F111/E111)*100</f>
        <v>#DIV/0!</v>
      </c>
    </row>
    <row r="112" spans="1:13" ht="25.5" customHeight="1">
      <c r="A112" s="125" t="s">
        <v>178</v>
      </c>
      <c r="B112" s="140" t="s">
        <v>89</v>
      </c>
      <c r="C112" s="133">
        <v>1011</v>
      </c>
      <c r="D112" s="270">
        <f>SUM(D113:D114)</f>
        <v>0</v>
      </c>
      <c r="E112" s="274">
        <f>SUM(E113:E114)</f>
        <v>0</v>
      </c>
      <c r="F112" s="270">
        <f>SUM(F113:F114)</f>
        <v>5549.3</v>
      </c>
      <c r="G112" s="134">
        <f t="shared" si="43"/>
        <v>5549.3</v>
      </c>
      <c r="H112" s="155" t="e">
        <f t="shared" si="46"/>
        <v>#DIV/0!</v>
      </c>
    </row>
    <row r="113" spans="1:13" ht="22.5" customHeight="1">
      <c r="A113" s="126"/>
      <c r="B113" s="25" t="s">
        <v>111</v>
      </c>
      <c r="C113" s="9"/>
      <c r="D113" s="268"/>
      <c r="E113" s="272"/>
      <c r="F113" s="268">
        <v>5359.6</v>
      </c>
      <c r="G113" s="18">
        <f t="shared" ref="G113:G114" si="47">F113-E113</f>
        <v>5359.6</v>
      </c>
      <c r="H113" s="154" t="e">
        <f t="shared" ref="H113:H114" si="48">(F113/E113)*100</f>
        <v>#DIV/0!</v>
      </c>
    </row>
    <row r="114" spans="1:13" ht="23.25" customHeight="1">
      <c r="A114" s="126"/>
      <c r="B114" s="25" t="s">
        <v>229</v>
      </c>
      <c r="C114" s="9"/>
      <c r="D114" s="268"/>
      <c r="E114" s="272"/>
      <c r="F114" s="268">
        <v>189.7</v>
      </c>
      <c r="G114" s="18">
        <f t="shared" si="47"/>
        <v>189.7</v>
      </c>
      <c r="H114" s="154" t="e">
        <f t="shared" si="48"/>
        <v>#DIV/0!</v>
      </c>
    </row>
    <row r="115" spans="1:13" ht="24.75" customHeight="1">
      <c r="A115" s="101" t="s">
        <v>109</v>
      </c>
      <c r="B115" s="216" t="s">
        <v>171</v>
      </c>
      <c r="C115" s="12"/>
      <c r="D115" s="267">
        <f>SUM(D117,D123)</f>
        <v>97.800000000000011</v>
      </c>
      <c r="E115" s="267">
        <f>SUM(E117,E123)</f>
        <v>102.1</v>
      </c>
      <c r="F115" s="267">
        <f>SUM(F117,F123)</f>
        <v>135.10000000000002</v>
      </c>
      <c r="G115" s="64">
        <f t="shared" si="37"/>
        <v>33.000000000000028</v>
      </c>
      <c r="H115" s="64">
        <f t="shared" si="38"/>
        <v>132.32125367286974</v>
      </c>
      <c r="K115" s="160"/>
    </row>
    <row r="116" spans="1:13" ht="27.75" customHeight="1">
      <c r="A116" s="126"/>
      <c r="B116" s="120" t="s">
        <v>72</v>
      </c>
      <c r="C116" s="12"/>
      <c r="D116" s="267"/>
      <c r="E116" s="267"/>
      <c r="F116" s="267"/>
      <c r="G116" s="18">
        <f t="shared" si="37"/>
        <v>0</v>
      </c>
      <c r="H116" s="18"/>
    </row>
    <row r="117" spans="1:13" ht="39.75" customHeight="1">
      <c r="A117" s="122" t="s">
        <v>179</v>
      </c>
      <c r="B117" s="19" t="s">
        <v>76</v>
      </c>
      <c r="C117" s="123">
        <v>1010</v>
      </c>
      <c r="D117" s="269">
        <f>D118</f>
        <v>97.600000000000009</v>
      </c>
      <c r="E117" s="269">
        <f>E118</f>
        <v>101.8</v>
      </c>
      <c r="F117" s="269">
        <f>F118</f>
        <v>134.80000000000001</v>
      </c>
      <c r="G117" s="124">
        <f t="shared" si="37"/>
        <v>33.000000000000014</v>
      </c>
      <c r="H117" s="124">
        <f>F117/E117*100</f>
        <v>132.41650294695481</v>
      </c>
    </row>
    <row r="118" spans="1:13" s="104" customFormat="1" ht="22.5" customHeight="1">
      <c r="A118" s="125" t="s">
        <v>180</v>
      </c>
      <c r="B118" s="120" t="s">
        <v>89</v>
      </c>
      <c r="C118" s="133">
        <v>1011</v>
      </c>
      <c r="D118" s="270">
        <f>SUM(D119:D122)</f>
        <v>97.600000000000009</v>
      </c>
      <c r="E118" s="270">
        <f>E119+E120+E121+E122</f>
        <v>101.8</v>
      </c>
      <c r="F118" s="270">
        <f>SUM(F119:F122)</f>
        <v>134.80000000000001</v>
      </c>
      <c r="G118" s="134">
        <f t="shared" si="37"/>
        <v>33.000000000000014</v>
      </c>
      <c r="H118" s="134">
        <f t="shared" ref="H118:H122" si="49">F118/E118*100</f>
        <v>132.41650294695481</v>
      </c>
      <c r="J118" s="116"/>
      <c r="K118" s="117"/>
      <c r="L118" s="117"/>
      <c r="M118" s="117"/>
    </row>
    <row r="119" spans="1:13" ht="18.75" customHeight="1">
      <c r="A119" s="126"/>
      <c r="B119" s="15" t="s">
        <v>125</v>
      </c>
      <c r="C119" s="9"/>
      <c r="D119" s="268">
        <v>8.1</v>
      </c>
      <c r="E119" s="272">
        <v>4.2</v>
      </c>
      <c r="F119" s="268">
        <v>7.1</v>
      </c>
      <c r="G119" s="18">
        <f t="shared" si="37"/>
        <v>2.8999999999999995</v>
      </c>
      <c r="H119" s="18">
        <f t="shared" si="49"/>
        <v>169.04761904761904</v>
      </c>
    </row>
    <row r="120" spans="1:13" ht="23.25" customHeight="1">
      <c r="A120" s="126"/>
      <c r="B120" s="15" t="s">
        <v>126</v>
      </c>
      <c r="C120" s="9"/>
      <c r="D120" s="268">
        <v>1.4</v>
      </c>
      <c r="E120" s="272">
        <v>1.4</v>
      </c>
      <c r="F120" s="268">
        <v>1.3</v>
      </c>
      <c r="G120" s="18">
        <f t="shared" si="37"/>
        <v>-9.9999999999999867E-2</v>
      </c>
      <c r="H120" s="18">
        <f t="shared" si="49"/>
        <v>92.857142857142875</v>
      </c>
    </row>
    <row r="121" spans="1:13" ht="22.5" customHeight="1">
      <c r="A121" s="126"/>
      <c r="B121" s="15" t="s">
        <v>127</v>
      </c>
      <c r="C121" s="9"/>
      <c r="D121" s="268">
        <f>91.9-4</f>
        <v>87.9</v>
      </c>
      <c r="E121" s="272">
        <v>96</v>
      </c>
      <c r="F121" s="268">
        <v>126</v>
      </c>
      <c r="G121" s="18">
        <f t="shared" ref="G121:G125" si="50">F121-E121</f>
        <v>30</v>
      </c>
      <c r="H121" s="18">
        <f t="shared" si="49"/>
        <v>131.25</v>
      </c>
    </row>
    <row r="122" spans="1:13" ht="21" customHeight="1">
      <c r="A122" s="126"/>
      <c r="B122" s="15" t="s">
        <v>128</v>
      </c>
      <c r="C122" s="9"/>
      <c r="D122" s="268">
        <v>0.2</v>
      </c>
      <c r="E122" s="272">
        <v>0.2</v>
      </c>
      <c r="F122" s="268">
        <v>0.4</v>
      </c>
      <c r="G122" s="18">
        <f t="shared" si="50"/>
        <v>0.2</v>
      </c>
      <c r="H122" s="18">
        <f t="shared" si="49"/>
        <v>200</v>
      </c>
    </row>
    <row r="123" spans="1:13" ht="24" customHeight="1">
      <c r="A123" s="122" t="s">
        <v>181</v>
      </c>
      <c r="B123" s="19" t="s">
        <v>77</v>
      </c>
      <c r="C123" s="123">
        <v>1020</v>
      </c>
      <c r="D123" s="269">
        <f t="shared" ref="D123:F123" si="51">SUM(D124)</f>
        <v>0.2</v>
      </c>
      <c r="E123" s="269">
        <f t="shared" si="51"/>
        <v>0.3</v>
      </c>
      <c r="F123" s="269">
        <f t="shared" si="51"/>
        <v>0.3</v>
      </c>
      <c r="G123" s="124">
        <f t="shared" si="50"/>
        <v>0</v>
      </c>
      <c r="H123" s="124">
        <f t="shared" ref="H123:H125" si="52">(F123/E123)*100</f>
        <v>100</v>
      </c>
    </row>
    <row r="124" spans="1:13" s="104" customFormat="1" ht="24" customHeight="1">
      <c r="A124" s="125" t="s">
        <v>233</v>
      </c>
      <c r="B124" s="140" t="s">
        <v>147</v>
      </c>
      <c r="C124" s="133">
        <v>1025</v>
      </c>
      <c r="D124" s="270">
        <f t="shared" ref="D124" si="53">SUM(D125)</f>
        <v>0.2</v>
      </c>
      <c r="E124" s="270">
        <v>0.3</v>
      </c>
      <c r="F124" s="270">
        <v>0.3</v>
      </c>
      <c r="G124" s="134">
        <f t="shared" si="50"/>
        <v>0</v>
      </c>
      <c r="H124" s="134">
        <f t="shared" si="52"/>
        <v>100</v>
      </c>
      <c r="J124" s="116"/>
      <c r="K124" s="117"/>
      <c r="L124" s="117"/>
      <c r="M124" s="117"/>
    </row>
    <row r="125" spans="1:13" ht="20.25" customHeight="1">
      <c r="A125" s="126"/>
      <c r="B125" s="15" t="s">
        <v>38</v>
      </c>
      <c r="C125" s="9"/>
      <c r="D125" s="268">
        <v>0.2</v>
      </c>
      <c r="E125" s="272">
        <v>0.3</v>
      </c>
      <c r="F125" s="268">
        <v>0.3</v>
      </c>
      <c r="G125" s="18">
        <f t="shared" si="50"/>
        <v>0</v>
      </c>
      <c r="H125" s="18">
        <f t="shared" si="52"/>
        <v>100</v>
      </c>
    </row>
    <row r="126" spans="1:13" ht="20.25" customHeight="1">
      <c r="A126" s="101" t="s">
        <v>279</v>
      </c>
      <c r="B126" s="216" t="s">
        <v>136</v>
      </c>
      <c r="C126" s="12"/>
      <c r="D126" s="267">
        <f t="shared" ref="D126" si="54">SUM(D128,)</f>
        <v>0</v>
      </c>
      <c r="E126" s="267">
        <f t="shared" ref="E126:F126" si="55">SUM(E128,)</f>
        <v>5</v>
      </c>
      <c r="F126" s="267">
        <f t="shared" si="55"/>
        <v>0</v>
      </c>
      <c r="G126" s="64">
        <f t="shared" ref="G126:G206" si="56">F126-E126</f>
        <v>-5</v>
      </c>
      <c r="H126" s="64">
        <f t="shared" ref="H126:H206" si="57">(F126/E126)*100</f>
        <v>0</v>
      </c>
    </row>
    <row r="127" spans="1:13" ht="25.5" customHeight="1">
      <c r="A127" s="101"/>
      <c r="B127" s="120" t="s">
        <v>72</v>
      </c>
      <c r="C127" s="12"/>
      <c r="D127" s="267"/>
      <c r="E127" s="267"/>
      <c r="F127" s="267"/>
      <c r="G127" s="64"/>
      <c r="H127" s="64"/>
    </row>
    <row r="128" spans="1:13" ht="25.5" customHeight="1">
      <c r="A128" s="122" t="s">
        <v>182</v>
      </c>
      <c r="B128" s="19" t="s">
        <v>77</v>
      </c>
      <c r="C128" s="123">
        <v>1020</v>
      </c>
      <c r="D128" s="269">
        <f>D130</f>
        <v>0</v>
      </c>
      <c r="E128" s="269">
        <f>SUM(E129)</f>
        <v>5</v>
      </c>
      <c r="F128" s="269">
        <f>F130</f>
        <v>0</v>
      </c>
      <c r="G128" s="124">
        <f t="shared" si="56"/>
        <v>-5</v>
      </c>
      <c r="H128" s="134">
        <f t="shared" si="57"/>
        <v>0</v>
      </c>
    </row>
    <row r="129" spans="1:13" s="104" customFormat="1" ht="26.25" customHeight="1">
      <c r="A129" s="125" t="s">
        <v>183</v>
      </c>
      <c r="B129" s="120" t="s">
        <v>89</v>
      </c>
      <c r="C129" s="133">
        <v>1021</v>
      </c>
      <c r="D129" s="270">
        <f>D130</f>
        <v>0</v>
      </c>
      <c r="E129" s="270">
        <f>SUM(E130)</f>
        <v>5</v>
      </c>
      <c r="F129" s="270">
        <f>F130</f>
        <v>0</v>
      </c>
      <c r="G129" s="134">
        <f t="shared" si="56"/>
        <v>-5</v>
      </c>
      <c r="H129" s="134">
        <f t="shared" si="57"/>
        <v>0</v>
      </c>
      <c r="J129" s="116"/>
      <c r="K129" s="117"/>
      <c r="L129" s="117"/>
      <c r="M129" s="117"/>
    </row>
    <row r="130" spans="1:13" ht="24.75" customHeight="1">
      <c r="A130" s="101"/>
      <c r="B130" s="15" t="s">
        <v>143</v>
      </c>
      <c r="C130" s="12"/>
      <c r="D130" s="268"/>
      <c r="E130" s="268">
        <v>5</v>
      </c>
      <c r="F130" s="268"/>
      <c r="G130" s="18">
        <f t="shared" si="56"/>
        <v>-5</v>
      </c>
      <c r="H130" s="18">
        <f t="shared" si="57"/>
        <v>0</v>
      </c>
    </row>
    <row r="131" spans="1:13" ht="22.5" customHeight="1">
      <c r="A131" s="101" t="s">
        <v>137</v>
      </c>
      <c r="B131" s="216" t="s">
        <v>252</v>
      </c>
      <c r="C131" s="12"/>
      <c r="D131" s="267">
        <f>SUM(D133,D156)</f>
        <v>4364.3999999999996</v>
      </c>
      <c r="E131" s="267">
        <f t="shared" ref="E131" si="58">SUM(E133,)</f>
        <v>0</v>
      </c>
      <c r="F131" s="267">
        <f>SUM(F133,F153,F156)</f>
        <v>7170.2</v>
      </c>
      <c r="G131" s="64">
        <f t="shared" si="56"/>
        <v>7170.2</v>
      </c>
      <c r="H131" s="154" t="e">
        <f t="shared" si="57"/>
        <v>#DIV/0!</v>
      </c>
      <c r="I131" s="102">
        <v>7385.4</v>
      </c>
    </row>
    <row r="132" spans="1:13" ht="21" customHeight="1">
      <c r="A132" s="101"/>
      <c r="B132" s="120" t="s">
        <v>72</v>
      </c>
      <c r="C132" s="9"/>
      <c r="D132" s="268"/>
      <c r="E132" s="268"/>
      <c r="F132" s="268"/>
      <c r="G132" s="18"/>
      <c r="H132" s="18"/>
      <c r="I132" s="132">
        <f>I131-F131</f>
        <v>215.19999999999982</v>
      </c>
    </row>
    <row r="133" spans="1:13" ht="38.25" customHeight="1">
      <c r="A133" s="122" t="s">
        <v>172</v>
      </c>
      <c r="B133" s="19" t="s">
        <v>76</v>
      </c>
      <c r="C133" s="123">
        <v>1010</v>
      </c>
      <c r="D133" s="269">
        <f>SUM(D134+D145)</f>
        <v>4363.8999999999996</v>
      </c>
      <c r="E133" s="269">
        <f t="shared" ref="E133" si="59">SUM(E134)</f>
        <v>0</v>
      </c>
      <c r="F133" s="269">
        <f>SUM(F134+F145)</f>
        <v>7167</v>
      </c>
      <c r="G133" s="124">
        <f t="shared" si="56"/>
        <v>7167</v>
      </c>
      <c r="H133" s="158" t="e">
        <f t="shared" si="57"/>
        <v>#DIV/0!</v>
      </c>
      <c r="I133" s="132"/>
    </row>
    <row r="134" spans="1:13" s="104" customFormat="1" ht="24" customHeight="1">
      <c r="A134" s="125" t="s">
        <v>195</v>
      </c>
      <c r="B134" s="120" t="s">
        <v>89</v>
      </c>
      <c r="C134" s="133">
        <v>1011</v>
      </c>
      <c r="D134" s="270">
        <f>SUM(D135:D144)</f>
        <v>4292.5</v>
      </c>
      <c r="E134" s="270">
        <f>SUM(E135:E144)</f>
        <v>0</v>
      </c>
      <c r="F134" s="270">
        <f>SUM(F135:F144)</f>
        <v>7113.3</v>
      </c>
      <c r="G134" s="134">
        <f t="shared" si="56"/>
        <v>7113.3</v>
      </c>
      <c r="H134" s="155" t="e">
        <f t="shared" si="57"/>
        <v>#DIV/0!</v>
      </c>
      <c r="J134" s="116"/>
      <c r="K134" s="117"/>
      <c r="L134" s="117"/>
      <c r="M134" s="117"/>
    </row>
    <row r="135" spans="1:13" ht="24" customHeight="1">
      <c r="A135" s="101"/>
      <c r="B135" s="15" t="s">
        <v>184</v>
      </c>
      <c r="C135" s="12"/>
      <c r="D135" s="268">
        <v>32.1</v>
      </c>
      <c r="E135" s="268"/>
      <c r="F135" s="268">
        <v>275.89999999999998</v>
      </c>
      <c r="G135" s="18">
        <f t="shared" si="56"/>
        <v>275.89999999999998</v>
      </c>
      <c r="H135" s="154" t="e">
        <f t="shared" si="57"/>
        <v>#DIV/0!</v>
      </c>
      <c r="I135" s="132">
        <f>F135+F136+F137+F138+F139+F140+F141</f>
        <v>1450.8</v>
      </c>
      <c r="J135" s="248">
        <v>1350.7</v>
      </c>
    </row>
    <row r="136" spans="1:13" ht="21.75" customHeight="1">
      <c r="A136" s="101"/>
      <c r="B136" s="15" t="s">
        <v>215</v>
      </c>
      <c r="C136" s="9"/>
      <c r="D136" s="281">
        <v>701.1</v>
      </c>
      <c r="E136" s="268"/>
      <c r="F136" s="268">
        <v>719.2</v>
      </c>
      <c r="G136" s="18">
        <f t="shared" si="56"/>
        <v>719.2</v>
      </c>
      <c r="H136" s="154" t="e">
        <f t="shared" si="57"/>
        <v>#DIV/0!</v>
      </c>
      <c r="I136" s="132">
        <f>J135-I135</f>
        <v>-100.09999999999991</v>
      </c>
    </row>
    <row r="137" spans="1:13" ht="21" customHeight="1">
      <c r="A137" s="101"/>
      <c r="B137" s="15" t="s">
        <v>196</v>
      </c>
      <c r="C137" s="9"/>
      <c r="D137" s="281">
        <v>204.5</v>
      </c>
      <c r="E137" s="268"/>
      <c r="F137" s="268">
        <v>151.6</v>
      </c>
      <c r="G137" s="18">
        <f t="shared" si="56"/>
        <v>151.6</v>
      </c>
      <c r="H137" s="154" t="e">
        <f t="shared" si="57"/>
        <v>#DIV/0!</v>
      </c>
    </row>
    <row r="138" spans="1:13" ht="20.25" customHeight="1">
      <c r="A138" s="101"/>
      <c r="B138" s="15" t="s">
        <v>141</v>
      </c>
      <c r="C138" s="9"/>
      <c r="D138" s="281">
        <v>72.7</v>
      </c>
      <c r="E138" s="268"/>
      <c r="F138" s="268">
        <v>52.3</v>
      </c>
      <c r="G138" s="18">
        <f t="shared" si="56"/>
        <v>52.3</v>
      </c>
      <c r="H138" s="154" t="e">
        <f t="shared" si="57"/>
        <v>#DIV/0!</v>
      </c>
    </row>
    <row r="139" spans="1:13" ht="18" customHeight="1">
      <c r="A139" s="101"/>
      <c r="B139" s="15" t="s">
        <v>142</v>
      </c>
      <c r="C139" s="9"/>
      <c r="D139" s="281">
        <v>9.6</v>
      </c>
      <c r="E139" s="268"/>
      <c r="F139" s="268">
        <v>98.1</v>
      </c>
      <c r="G139" s="18">
        <f t="shared" si="56"/>
        <v>98.1</v>
      </c>
      <c r="H139" s="154" t="e">
        <f t="shared" si="57"/>
        <v>#DIV/0!</v>
      </c>
    </row>
    <row r="140" spans="1:13" ht="22.5" customHeight="1">
      <c r="A140" s="101"/>
      <c r="B140" s="15" t="s">
        <v>197</v>
      </c>
      <c r="C140" s="9"/>
      <c r="D140" s="281">
        <v>1.8</v>
      </c>
      <c r="E140" s="268"/>
      <c r="F140" s="268">
        <v>1.2</v>
      </c>
      <c r="G140" s="18">
        <f t="shared" si="56"/>
        <v>1.2</v>
      </c>
      <c r="H140" s="154" t="e">
        <f t="shared" si="57"/>
        <v>#DIV/0!</v>
      </c>
    </row>
    <row r="141" spans="1:13" ht="21" customHeight="1">
      <c r="A141" s="101"/>
      <c r="B141" s="15" t="s">
        <v>374</v>
      </c>
      <c r="C141" s="9"/>
      <c r="D141" s="281">
        <v>180.4</v>
      </c>
      <c r="E141" s="268"/>
      <c r="F141" s="268">
        <v>152.5</v>
      </c>
      <c r="G141" s="18">
        <f t="shared" si="56"/>
        <v>152.5</v>
      </c>
      <c r="H141" s="154" t="e">
        <f t="shared" si="57"/>
        <v>#DIV/0!</v>
      </c>
    </row>
    <row r="142" spans="1:13" ht="42" customHeight="1">
      <c r="A142" s="101"/>
      <c r="B142" s="224" t="s">
        <v>189</v>
      </c>
      <c r="C142" s="26"/>
      <c r="D142" s="281">
        <v>5.5</v>
      </c>
      <c r="E142" s="268"/>
      <c r="F142" s="268"/>
      <c r="G142" s="18"/>
      <c r="H142" s="154"/>
    </row>
    <row r="143" spans="1:13" ht="20.25" customHeight="1">
      <c r="A143" s="101"/>
      <c r="B143" s="15" t="s">
        <v>111</v>
      </c>
      <c r="C143" s="26"/>
      <c r="D143" s="281">
        <f>2731-33.9-49.5</f>
        <v>2647.6</v>
      </c>
      <c r="E143" s="268"/>
      <c r="F143" s="268">
        <v>4876.3999999999996</v>
      </c>
      <c r="G143" s="18">
        <f t="shared" si="56"/>
        <v>4876.3999999999996</v>
      </c>
      <c r="H143" s="154" t="e">
        <f t="shared" si="57"/>
        <v>#DIV/0!</v>
      </c>
    </row>
    <row r="144" spans="1:13" ht="20.25" customHeight="1">
      <c r="A144" s="101"/>
      <c r="B144" s="15" t="s">
        <v>132</v>
      </c>
      <c r="C144" s="9"/>
      <c r="D144" s="281">
        <v>437.2</v>
      </c>
      <c r="E144" s="268"/>
      <c r="F144" s="268">
        <v>786.1</v>
      </c>
      <c r="G144" s="18">
        <f t="shared" si="56"/>
        <v>786.1</v>
      </c>
      <c r="H144" s="154" t="e">
        <f t="shared" si="57"/>
        <v>#DIV/0!</v>
      </c>
    </row>
    <row r="145" spans="1:13" ht="20.25" customHeight="1">
      <c r="A145" s="101" t="s">
        <v>325</v>
      </c>
      <c r="B145" s="225" t="s">
        <v>318</v>
      </c>
      <c r="C145" s="226">
        <v>1015</v>
      </c>
      <c r="D145" s="287">
        <f>D146+D147+D148+D149+D150+D152</f>
        <v>71.399999999999991</v>
      </c>
      <c r="E145" s="268"/>
      <c r="F145" s="287">
        <f>F146+F147+F148+F149+F150+F151+F152</f>
        <v>53.7</v>
      </c>
      <c r="G145" s="18"/>
      <c r="H145" s="154"/>
    </row>
    <row r="146" spans="1:13" ht="20.25" customHeight="1">
      <c r="A146" s="101"/>
      <c r="B146" s="223" t="s">
        <v>319</v>
      </c>
      <c r="C146" s="219"/>
      <c r="D146" s="281">
        <v>21.3</v>
      </c>
      <c r="E146" s="268"/>
      <c r="F146" s="268">
        <v>19.2</v>
      </c>
      <c r="G146" s="18"/>
      <c r="H146" s="154"/>
      <c r="I146" s="132"/>
    </row>
    <row r="147" spans="1:13" ht="20.25" customHeight="1">
      <c r="A147" s="101"/>
      <c r="B147" s="221" t="s">
        <v>130</v>
      </c>
      <c r="C147" s="219"/>
      <c r="D147" s="281">
        <v>4.2</v>
      </c>
      <c r="E147" s="268"/>
      <c r="F147" s="268"/>
      <c r="G147" s="18"/>
      <c r="H147" s="154"/>
    </row>
    <row r="148" spans="1:13" ht="20.25" customHeight="1">
      <c r="A148" s="101"/>
      <c r="B148" s="227" t="s">
        <v>372</v>
      </c>
      <c r="C148" s="219"/>
      <c r="D148" s="281"/>
      <c r="E148" s="268"/>
      <c r="F148" s="268">
        <v>3.2</v>
      </c>
      <c r="G148" s="18"/>
      <c r="H148" s="154"/>
    </row>
    <row r="149" spans="1:13" ht="20.25" customHeight="1">
      <c r="A149" s="101"/>
      <c r="B149" s="223" t="s">
        <v>320</v>
      </c>
      <c r="C149" s="228"/>
      <c r="D149" s="272">
        <v>24.6</v>
      </c>
      <c r="E149" s="268"/>
      <c r="F149" s="268">
        <v>23.3</v>
      </c>
      <c r="G149" s="18"/>
      <c r="H149" s="154"/>
    </row>
    <row r="150" spans="1:13" ht="20.25" customHeight="1">
      <c r="A150" s="101"/>
      <c r="B150" s="222" t="s">
        <v>321</v>
      </c>
      <c r="C150" s="228"/>
      <c r="D150" s="272">
        <v>17.7</v>
      </c>
      <c r="E150" s="268"/>
      <c r="F150" s="268"/>
      <c r="G150" s="18"/>
      <c r="H150" s="154"/>
    </row>
    <row r="151" spans="1:13" ht="20.25" customHeight="1">
      <c r="A151" s="101"/>
      <c r="B151" s="222" t="s">
        <v>373</v>
      </c>
      <c r="C151" s="228"/>
      <c r="D151" s="272"/>
      <c r="E151" s="268"/>
      <c r="F151" s="268">
        <v>6.2</v>
      </c>
      <c r="G151" s="18"/>
      <c r="H151" s="154"/>
    </row>
    <row r="152" spans="1:13" ht="20.25" customHeight="1">
      <c r="A152" s="101"/>
      <c r="B152" s="222" t="s">
        <v>322</v>
      </c>
      <c r="C152" s="228"/>
      <c r="D152" s="272">
        <v>3.6</v>
      </c>
      <c r="E152" s="268"/>
      <c r="F152" s="268">
        <v>1.8</v>
      </c>
      <c r="G152" s="18"/>
      <c r="H152" s="154"/>
    </row>
    <row r="153" spans="1:13" ht="20.25" customHeight="1">
      <c r="A153" s="101" t="s">
        <v>326</v>
      </c>
      <c r="B153" s="229" t="s">
        <v>77</v>
      </c>
      <c r="C153" s="230">
        <v>1020</v>
      </c>
      <c r="D153" s="269">
        <f>D156</f>
        <v>0.5</v>
      </c>
      <c r="E153" s="268"/>
      <c r="F153" s="269">
        <v>3.2</v>
      </c>
      <c r="G153" s="18"/>
      <c r="H153" s="154"/>
    </row>
    <row r="154" spans="1:13" ht="20.25" customHeight="1">
      <c r="A154" s="235" t="s">
        <v>367</v>
      </c>
      <c r="B154" s="232" t="s">
        <v>323</v>
      </c>
      <c r="C154" s="231"/>
      <c r="D154" s="268"/>
      <c r="E154" s="268"/>
      <c r="F154" s="268"/>
      <c r="G154" s="18"/>
      <c r="H154" s="154"/>
    </row>
    <row r="155" spans="1:13" ht="17.25" customHeight="1">
      <c r="A155" s="236"/>
      <c r="B155" s="223" t="s">
        <v>377</v>
      </c>
      <c r="C155" s="231"/>
      <c r="D155" s="268"/>
      <c r="E155" s="268"/>
      <c r="F155" s="268">
        <v>3.2</v>
      </c>
      <c r="G155" s="18"/>
      <c r="H155" s="154"/>
    </row>
    <row r="156" spans="1:13" s="104" customFormat="1" ht="20.25" customHeight="1">
      <c r="A156" s="237" t="s">
        <v>368</v>
      </c>
      <c r="B156" s="141" t="s">
        <v>10</v>
      </c>
      <c r="C156" s="230">
        <v>1030</v>
      </c>
      <c r="D156" s="269">
        <f>D157</f>
        <v>0.5</v>
      </c>
      <c r="E156" s="267"/>
      <c r="F156" s="267"/>
      <c r="G156" s="64"/>
      <c r="H156" s="157"/>
      <c r="J156" s="116"/>
      <c r="K156" s="117"/>
      <c r="L156" s="117"/>
      <c r="M156" s="117"/>
    </row>
    <row r="157" spans="1:13" ht="20.25" customHeight="1">
      <c r="A157" s="235" t="s">
        <v>369</v>
      </c>
      <c r="B157" s="234" t="s">
        <v>266</v>
      </c>
      <c r="C157" s="233">
        <v>1035</v>
      </c>
      <c r="D157" s="268">
        <v>0.5</v>
      </c>
      <c r="E157" s="268"/>
      <c r="F157" s="268"/>
      <c r="G157" s="18"/>
      <c r="H157" s="154"/>
    </row>
    <row r="158" spans="1:13" ht="20.25" customHeight="1">
      <c r="A158" s="101"/>
      <c r="B158" s="222" t="s">
        <v>324</v>
      </c>
      <c r="C158" s="219"/>
      <c r="D158" s="281">
        <v>0.5</v>
      </c>
      <c r="E158" s="268"/>
      <c r="F158" s="268"/>
      <c r="G158" s="18"/>
      <c r="H158" s="154"/>
    </row>
    <row r="159" spans="1:13" ht="24" customHeight="1">
      <c r="A159" s="101" t="s">
        <v>138</v>
      </c>
      <c r="B159" s="216" t="s">
        <v>262</v>
      </c>
      <c r="C159" s="12"/>
      <c r="D159" s="267">
        <f>SUM(D161,)</f>
        <v>0</v>
      </c>
      <c r="E159" s="267">
        <f t="shared" ref="E159:F159" si="60">SUM(E161,)</f>
        <v>0</v>
      </c>
      <c r="F159" s="267">
        <f t="shared" si="60"/>
        <v>14</v>
      </c>
      <c r="G159" s="64">
        <f t="shared" si="56"/>
        <v>14</v>
      </c>
      <c r="H159" s="154" t="e">
        <f t="shared" si="57"/>
        <v>#DIV/0!</v>
      </c>
    </row>
    <row r="160" spans="1:13" ht="20.25" customHeight="1">
      <c r="A160" s="101"/>
      <c r="B160" s="120" t="s">
        <v>72</v>
      </c>
      <c r="C160" s="9"/>
      <c r="D160" s="268"/>
      <c r="E160" s="268"/>
      <c r="F160" s="268"/>
      <c r="G160" s="18"/>
      <c r="H160" s="154"/>
    </row>
    <row r="161" spans="1:13" ht="36" customHeight="1">
      <c r="A161" s="122" t="s">
        <v>241</v>
      </c>
      <c r="B161" s="19" t="s">
        <v>76</v>
      </c>
      <c r="C161" s="123">
        <v>1010</v>
      </c>
      <c r="D161" s="269">
        <f>SUM(D162,)</f>
        <v>0</v>
      </c>
      <c r="E161" s="269">
        <f>SUM(E162,)</f>
        <v>0</v>
      </c>
      <c r="F161" s="269">
        <f>F163+F164</f>
        <v>14</v>
      </c>
      <c r="G161" s="124">
        <f t="shared" si="56"/>
        <v>14</v>
      </c>
      <c r="H161" s="158" t="e">
        <f t="shared" si="57"/>
        <v>#DIV/0!</v>
      </c>
    </row>
    <row r="162" spans="1:13" ht="24.75" customHeight="1">
      <c r="A162" s="125" t="s">
        <v>242</v>
      </c>
      <c r="B162" s="120" t="s">
        <v>89</v>
      </c>
      <c r="C162" s="133">
        <v>1011</v>
      </c>
      <c r="D162" s="270"/>
      <c r="E162" s="270">
        <f>SUM(E163:E164)</f>
        <v>0</v>
      </c>
      <c r="F162" s="270">
        <f>F163+F164</f>
        <v>14</v>
      </c>
      <c r="G162" s="134">
        <f t="shared" si="56"/>
        <v>14</v>
      </c>
      <c r="H162" s="155" t="e">
        <f t="shared" si="57"/>
        <v>#DIV/0!</v>
      </c>
    </row>
    <row r="163" spans="1:13" ht="21" customHeight="1">
      <c r="A163" s="101"/>
      <c r="B163" s="15" t="s">
        <v>184</v>
      </c>
      <c r="C163" s="12"/>
      <c r="D163" s="268"/>
      <c r="E163" s="268"/>
      <c r="F163" s="268">
        <v>12.5</v>
      </c>
      <c r="G163" s="18">
        <f t="shared" si="56"/>
        <v>12.5</v>
      </c>
      <c r="H163" s="154" t="e">
        <f t="shared" si="57"/>
        <v>#DIV/0!</v>
      </c>
    </row>
    <row r="164" spans="1:13" ht="21" customHeight="1">
      <c r="A164" s="101"/>
      <c r="B164" s="15" t="s">
        <v>111</v>
      </c>
      <c r="C164" s="26"/>
      <c r="D164" s="268"/>
      <c r="E164" s="268"/>
      <c r="F164" s="268">
        <v>1.5</v>
      </c>
      <c r="G164" s="18">
        <f t="shared" si="56"/>
        <v>1.5</v>
      </c>
      <c r="H164" s="154" t="e">
        <f t="shared" si="57"/>
        <v>#DIV/0!</v>
      </c>
    </row>
    <row r="165" spans="1:13" s="104" customFormat="1" ht="30" customHeight="1">
      <c r="A165" s="101" t="s">
        <v>234</v>
      </c>
      <c r="B165" s="216" t="s">
        <v>263</v>
      </c>
      <c r="C165" s="12"/>
      <c r="D165" s="267"/>
      <c r="E165" s="267"/>
      <c r="F165" s="267">
        <f>F167</f>
        <v>577.5</v>
      </c>
      <c r="G165" s="64">
        <f t="shared" si="56"/>
        <v>577.5</v>
      </c>
      <c r="H165" s="157" t="e">
        <f t="shared" si="57"/>
        <v>#DIV/0!</v>
      </c>
      <c r="J165" s="116"/>
      <c r="K165" s="117"/>
      <c r="L165" s="117"/>
      <c r="M165" s="117"/>
    </row>
    <row r="166" spans="1:13" ht="25.5" customHeight="1">
      <c r="A166" s="101"/>
      <c r="B166" s="120" t="s">
        <v>72</v>
      </c>
      <c r="C166" s="9"/>
      <c r="D166" s="268"/>
      <c r="E166" s="268"/>
      <c r="F166" s="268"/>
      <c r="G166" s="18"/>
      <c r="H166" s="154"/>
    </row>
    <row r="167" spans="1:13" ht="43.5" customHeight="1">
      <c r="A167" s="122" t="s">
        <v>235</v>
      </c>
      <c r="B167" s="19" t="s">
        <v>76</v>
      </c>
      <c r="C167" s="123">
        <v>1010</v>
      </c>
      <c r="D167" s="269">
        <f>D168</f>
        <v>0</v>
      </c>
      <c r="E167" s="269">
        <f>SUM(E168)</f>
        <v>0</v>
      </c>
      <c r="F167" s="269">
        <f>F168</f>
        <v>577.5</v>
      </c>
      <c r="G167" s="124">
        <f t="shared" si="56"/>
        <v>577.5</v>
      </c>
      <c r="H167" s="158" t="e">
        <f t="shared" si="57"/>
        <v>#DIV/0!</v>
      </c>
    </row>
    <row r="168" spans="1:13" ht="24.75" customHeight="1">
      <c r="A168" s="125" t="s">
        <v>282</v>
      </c>
      <c r="B168" s="120" t="s">
        <v>89</v>
      </c>
      <c r="C168" s="133">
        <v>1011</v>
      </c>
      <c r="D168" s="270">
        <f>D169</f>
        <v>0</v>
      </c>
      <c r="E168" s="270">
        <f>SUM(E169)</f>
        <v>0</v>
      </c>
      <c r="F168" s="270">
        <f>F169</f>
        <v>577.5</v>
      </c>
      <c r="G168" s="134">
        <f t="shared" si="56"/>
        <v>577.5</v>
      </c>
      <c r="H168" s="155" t="e">
        <f t="shared" si="57"/>
        <v>#DIV/0!</v>
      </c>
    </row>
    <row r="169" spans="1:13" ht="23.25" customHeight="1">
      <c r="A169" s="101"/>
      <c r="B169" s="15" t="s">
        <v>111</v>
      </c>
      <c r="C169" s="26"/>
      <c r="D169" s="268"/>
      <c r="E169" s="268"/>
      <c r="F169" s="268">
        <v>577.5</v>
      </c>
      <c r="G169" s="18">
        <f t="shared" si="56"/>
        <v>577.5</v>
      </c>
      <c r="H169" s="154" t="e">
        <f t="shared" si="57"/>
        <v>#DIV/0!</v>
      </c>
    </row>
    <row r="170" spans="1:13" ht="42" customHeight="1">
      <c r="A170" s="101" t="s">
        <v>283</v>
      </c>
      <c r="B170" s="216" t="s">
        <v>253</v>
      </c>
      <c r="C170" s="12"/>
      <c r="D170" s="267">
        <f>D172</f>
        <v>83.4</v>
      </c>
      <c r="E170" s="267"/>
      <c r="F170" s="267">
        <f>F172</f>
        <v>0</v>
      </c>
      <c r="G170" s="157">
        <f t="shared" si="56"/>
        <v>0</v>
      </c>
      <c r="H170" s="157" t="e">
        <f t="shared" si="57"/>
        <v>#DIV/0!</v>
      </c>
    </row>
    <row r="171" spans="1:13" ht="27" customHeight="1">
      <c r="A171" s="101"/>
      <c r="B171" s="120" t="s">
        <v>72</v>
      </c>
      <c r="C171" s="12"/>
      <c r="D171" s="268"/>
      <c r="E171" s="268"/>
      <c r="F171" s="268"/>
      <c r="G171" s="18"/>
      <c r="H171" s="18"/>
    </row>
    <row r="172" spans="1:13" ht="41.25" customHeight="1">
      <c r="A172" s="122" t="s">
        <v>284</v>
      </c>
      <c r="B172" s="19" t="s">
        <v>76</v>
      </c>
      <c r="C172" s="123">
        <v>1010</v>
      </c>
      <c r="D172" s="269">
        <f>D173</f>
        <v>83.4</v>
      </c>
      <c r="E172" s="270"/>
      <c r="F172" s="270">
        <f>F173</f>
        <v>0</v>
      </c>
      <c r="G172" s="134">
        <f t="shared" si="56"/>
        <v>0</v>
      </c>
      <c r="H172" s="155" t="e">
        <f t="shared" si="57"/>
        <v>#DIV/0!</v>
      </c>
    </row>
    <row r="173" spans="1:13" ht="24" customHeight="1">
      <c r="A173" s="125" t="s">
        <v>285</v>
      </c>
      <c r="B173" s="120" t="s">
        <v>89</v>
      </c>
      <c r="C173" s="133">
        <v>1011</v>
      </c>
      <c r="D173" s="270">
        <f>D174</f>
        <v>83.4</v>
      </c>
      <c r="E173" s="270"/>
      <c r="F173" s="270">
        <f>F174</f>
        <v>0</v>
      </c>
      <c r="G173" s="134">
        <f t="shared" si="56"/>
        <v>0</v>
      </c>
      <c r="H173" s="155" t="e">
        <f t="shared" si="57"/>
        <v>#DIV/0!</v>
      </c>
    </row>
    <row r="174" spans="1:13" ht="26.25" customHeight="1">
      <c r="A174" s="101"/>
      <c r="B174" s="15" t="s">
        <v>111</v>
      </c>
      <c r="C174" s="12"/>
      <c r="D174" s="268">
        <v>83.4</v>
      </c>
      <c r="E174" s="268"/>
      <c r="F174" s="268"/>
      <c r="G174" s="18">
        <f t="shared" si="56"/>
        <v>0</v>
      </c>
      <c r="H174" s="154" t="e">
        <f t="shared" si="57"/>
        <v>#DIV/0!</v>
      </c>
    </row>
    <row r="175" spans="1:13" ht="36.75" customHeight="1">
      <c r="A175" s="101" t="s">
        <v>286</v>
      </c>
      <c r="B175" s="218" t="s">
        <v>185</v>
      </c>
      <c r="C175" s="12"/>
      <c r="D175" s="267">
        <f>D177+D190</f>
        <v>31.1</v>
      </c>
      <c r="E175" s="267">
        <f>E177+E190</f>
        <v>261</v>
      </c>
      <c r="F175" s="267">
        <f>F177+F187+F190</f>
        <v>500</v>
      </c>
      <c r="G175" s="64">
        <f t="shared" si="56"/>
        <v>239</v>
      </c>
      <c r="H175" s="64">
        <f t="shared" si="57"/>
        <v>191.57088122605364</v>
      </c>
    </row>
    <row r="176" spans="1:13" ht="23.25" customHeight="1">
      <c r="A176" s="101"/>
      <c r="B176" s="159" t="s">
        <v>72</v>
      </c>
      <c r="C176" s="12"/>
      <c r="D176" s="267"/>
      <c r="E176" s="267"/>
      <c r="F176" s="267"/>
      <c r="G176" s="64"/>
      <c r="H176" s="64"/>
    </row>
    <row r="177" spans="1:13" ht="42.75" customHeight="1">
      <c r="A177" s="122" t="s">
        <v>287</v>
      </c>
      <c r="B177" s="19" t="s">
        <v>76</v>
      </c>
      <c r="C177" s="123">
        <v>1010</v>
      </c>
      <c r="D177" s="269">
        <f>SUM(D178,D181)</f>
        <v>29.6</v>
      </c>
      <c r="E177" s="269">
        <f>SUM(E178,E181)</f>
        <v>259</v>
      </c>
      <c r="F177" s="269">
        <f>SUM(F178,F181)</f>
        <v>428.9</v>
      </c>
      <c r="G177" s="124">
        <f t="shared" si="56"/>
        <v>169.89999999999998</v>
      </c>
      <c r="H177" s="124">
        <f t="shared" si="57"/>
        <v>165.59845559845559</v>
      </c>
    </row>
    <row r="178" spans="1:13" s="104" customFormat="1" ht="23.25" customHeight="1">
      <c r="A178" s="125" t="s">
        <v>288</v>
      </c>
      <c r="B178" s="120" t="s">
        <v>89</v>
      </c>
      <c r="C178" s="133">
        <v>1011</v>
      </c>
      <c r="D178" s="270">
        <f>SUM(D179)</f>
        <v>27.1</v>
      </c>
      <c r="E178" s="270">
        <f>SUM(E179,E180)</f>
        <v>40</v>
      </c>
      <c r="F178" s="270">
        <f>SUM(F179+F180)</f>
        <v>39.200000000000003</v>
      </c>
      <c r="G178" s="134">
        <f t="shared" si="56"/>
        <v>-0.79999999999999716</v>
      </c>
      <c r="H178" s="134">
        <f t="shared" si="57"/>
        <v>98.000000000000014</v>
      </c>
      <c r="J178" s="116"/>
      <c r="K178" s="117"/>
      <c r="L178" s="117"/>
      <c r="M178" s="117"/>
    </row>
    <row r="179" spans="1:13" ht="57.75" customHeight="1">
      <c r="A179" s="101"/>
      <c r="B179" s="221" t="s">
        <v>327</v>
      </c>
      <c r="C179" s="9"/>
      <c r="D179" s="268">
        <v>27.1</v>
      </c>
      <c r="E179" s="268">
        <v>40</v>
      </c>
      <c r="F179" s="268"/>
      <c r="G179" s="18">
        <f t="shared" si="56"/>
        <v>-40</v>
      </c>
      <c r="H179" s="154">
        <f t="shared" si="57"/>
        <v>0</v>
      </c>
    </row>
    <row r="180" spans="1:13" ht="22.5" customHeight="1">
      <c r="A180" s="101"/>
      <c r="B180" s="17" t="s">
        <v>142</v>
      </c>
      <c r="C180" s="9"/>
      <c r="D180" s="268"/>
      <c r="E180" s="272"/>
      <c r="F180" s="268">
        <v>39.200000000000003</v>
      </c>
      <c r="G180" s="18">
        <f t="shared" si="56"/>
        <v>39.200000000000003</v>
      </c>
      <c r="H180" s="18" t="e">
        <f t="shared" si="57"/>
        <v>#DIV/0!</v>
      </c>
    </row>
    <row r="181" spans="1:13" ht="22.5" customHeight="1">
      <c r="A181" s="125" t="s">
        <v>289</v>
      </c>
      <c r="B181" s="120" t="s">
        <v>79</v>
      </c>
      <c r="C181" s="133">
        <v>1015</v>
      </c>
      <c r="D181" s="270">
        <f>D182+D183</f>
        <v>2.5</v>
      </c>
      <c r="E181" s="270">
        <f>E182+E183+E186</f>
        <v>219</v>
      </c>
      <c r="F181" s="270">
        <f>F182+F183+F184+F185+F186</f>
        <v>389.7</v>
      </c>
      <c r="G181" s="134">
        <f t="shared" si="56"/>
        <v>170.7</v>
      </c>
      <c r="H181" s="134">
        <f t="shared" si="57"/>
        <v>177.94520547945206</v>
      </c>
    </row>
    <row r="182" spans="1:13" ht="75">
      <c r="A182" s="101"/>
      <c r="B182" s="15" t="s">
        <v>370</v>
      </c>
      <c r="C182" s="9"/>
      <c r="D182" s="268">
        <v>1.5</v>
      </c>
      <c r="E182" s="272">
        <v>20</v>
      </c>
      <c r="F182" s="268">
        <v>42.1</v>
      </c>
      <c r="G182" s="18">
        <f t="shared" si="56"/>
        <v>22.1</v>
      </c>
      <c r="H182" s="18">
        <f t="shared" si="57"/>
        <v>210.5</v>
      </c>
    </row>
    <row r="183" spans="1:13" ht="38.25" customHeight="1">
      <c r="A183" s="101"/>
      <c r="B183" s="15" t="s">
        <v>248</v>
      </c>
      <c r="C183" s="9"/>
      <c r="D183" s="268">
        <v>1</v>
      </c>
      <c r="E183" s="272">
        <v>1</v>
      </c>
      <c r="F183" s="268">
        <v>1.3</v>
      </c>
      <c r="G183" s="18">
        <f t="shared" si="56"/>
        <v>0.30000000000000004</v>
      </c>
      <c r="H183" s="18">
        <f t="shared" si="57"/>
        <v>130</v>
      </c>
    </row>
    <row r="184" spans="1:13" ht="55.5" customHeight="1">
      <c r="A184" s="101"/>
      <c r="B184" s="28" t="s">
        <v>213</v>
      </c>
      <c r="C184" s="9"/>
      <c r="D184" s="268"/>
      <c r="E184" s="272"/>
      <c r="F184" s="268">
        <v>3.9</v>
      </c>
      <c r="G184" s="18"/>
      <c r="H184" s="18"/>
    </row>
    <row r="185" spans="1:13" ht="21.75" customHeight="1">
      <c r="A185" s="101"/>
      <c r="B185" s="28" t="s">
        <v>371</v>
      </c>
      <c r="C185" s="9"/>
      <c r="D185" s="268"/>
      <c r="E185" s="272"/>
      <c r="F185" s="268">
        <v>144.4</v>
      </c>
      <c r="G185" s="18"/>
      <c r="H185" s="18"/>
    </row>
    <row r="186" spans="1:13" ht="38.25" customHeight="1">
      <c r="A186" s="101"/>
      <c r="B186" s="145" t="s">
        <v>264</v>
      </c>
      <c r="C186" s="9"/>
      <c r="D186" s="268"/>
      <c r="E186" s="272">
        <v>198</v>
      </c>
      <c r="F186" s="268">
        <v>198</v>
      </c>
      <c r="G186" s="18">
        <f t="shared" si="56"/>
        <v>0</v>
      </c>
      <c r="H186" s="18">
        <f t="shared" si="57"/>
        <v>100</v>
      </c>
    </row>
    <row r="187" spans="1:13" s="104" customFormat="1" ht="23.25" customHeight="1">
      <c r="A187" s="122" t="s">
        <v>290</v>
      </c>
      <c r="B187" s="141" t="s">
        <v>10</v>
      </c>
      <c r="C187" s="230">
        <v>1030</v>
      </c>
      <c r="D187" s="267"/>
      <c r="E187" s="282"/>
      <c r="F187" s="267">
        <v>68</v>
      </c>
      <c r="G187" s="64"/>
      <c r="H187" s="64"/>
      <c r="J187" s="116"/>
      <c r="K187" s="117"/>
      <c r="L187" s="117"/>
      <c r="M187" s="117"/>
    </row>
    <row r="188" spans="1:13" ht="23.25" customHeight="1">
      <c r="A188" s="125" t="s">
        <v>291</v>
      </c>
      <c r="B188" s="145" t="s">
        <v>375</v>
      </c>
      <c r="C188" s="9">
        <v>1031</v>
      </c>
      <c r="D188" s="268"/>
      <c r="E188" s="272"/>
      <c r="F188" s="268">
        <v>68</v>
      </c>
      <c r="G188" s="18"/>
      <c r="H188" s="18"/>
    </row>
    <row r="189" spans="1:13" ht="23.25" customHeight="1">
      <c r="A189" s="101"/>
      <c r="B189" s="145" t="s">
        <v>376</v>
      </c>
      <c r="C189" s="9"/>
      <c r="D189" s="268"/>
      <c r="E189" s="272"/>
      <c r="F189" s="268">
        <v>68</v>
      </c>
      <c r="G189" s="18"/>
      <c r="H189" s="18"/>
    </row>
    <row r="190" spans="1:13" ht="26.25" customHeight="1">
      <c r="A190" s="122" t="s">
        <v>290</v>
      </c>
      <c r="B190" s="19" t="s">
        <v>77</v>
      </c>
      <c r="C190" s="123">
        <v>1020</v>
      </c>
      <c r="D190" s="269">
        <f>1.5</f>
        <v>1.5</v>
      </c>
      <c r="E190" s="269">
        <v>2</v>
      </c>
      <c r="F190" s="269">
        <f>F191</f>
        <v>3.1</v>
      </c>
      <c r="G190" s="124">
        <f t="shared" si="56"/>
        <v>1.1000000000000001</v>
      </c>
      <c r="H190" s="124">
        <f t="shared" si="57"/>
        <v>155</v>
      </c>
    </row>
    <row r="191" spans="1:13" ht="22.5" customHeight="1">
      <c r="A191" s="125" t="s">
        <v>291</v>
      </c>
      <c r="B191" s="140" t="s">
        <v>147</v>
      </c>
      <c r="C191" s="133">
        <v>1025</v>
      </c>
      <c r="D191" s="270">
        <v>1.5</v>
      </c>
      <c r="E191" s="270">
        <v>2</v>
      </c>
      <c r="F191" s="270">
        <f>F192</f>
        <v>3.1</v>
      </c>
      <c r="G191" s="134">
        <f t="shared" si="56"/>
        <v>1.1000000000000001</v>
      </c>
      <c r="H191" s="134">
        <f t="shared" si="57"/>
        <v>155</v>
      </c>
      <c r="J191" s="146"/>
      <c r="K191" s="163"/>
    </row>
    <row r="192" spans="1:13" ht="37.5">
      <c r="A192" s="101"/>
      <c r="B192" s="15" t="s">
        <v>150</v>
      </c>
      <c r="C192" s="9"/>
      <c r="D192" s="268">
        <v>1.5</v>
      </c>
      <c r="E192" s="272">
        <v>2</v>
      </c>
      <c r="F192" s="268">
        <v>3.1</v>
      </c>
      <c r="G192" s="18">
        <f t="shared" si="56"/>
        <v>1.1000000000000001</v>
      </c>
      <c r="H192" s="18">
        <f t="shared" si="57"/>
        <v>155</v>
      </c>
      <c r="J192" s="146"/>
      <c r="K192" s="163"/>
    </row>
    <row r="193" spans="1:11" ht="75">
      <c r="A193" s="246" t="s">
        <v>234</v>
      </c>
      <c r="B193" s="238" t="s">
        <v>328</v>
      </c>
      <c r="C193" s="239"/>
      <c r="D193" s="267">
        <v>50.3</v>
      </c>
      <c r="E193" s="272"/>
      <c r="F193" s="268"/>
      <c r="G193" s="18"/>
      <c r="H193" s="18"/>
      <c r="J193" s="146"/>
      <c r="K193" s="163"/>
    </row>
    <row r="194" spans="1:11">
      <c r="A194" s="235"/>
      <c r="B194" s="225" t="s">
        <v>72</v>
      </c>
      <c r="C194" s="231"/>
      <c r="D194" s="268"/>
      <c r="E194" s="272"/>
      <c r="F194" s="268"/>
      <c r="G194" s="18"/>
      <c r="H194" s="18"/>
      <c r="J194" s="146"/>
      <c r="K194" s="163"/>
    </row>
    <row r="195" spans="1:11" ht="37.5">
      <c r="A195" s="236" t="s">
        <v>235</v>
      </c>
      <c r="B195" s="240" t="s">
        <v>76</v>
      </c>
      <c r="C195" s="233">
        <v>1010</v>
      </c>
      <c r="D195" s="268">
        <v>50.3</v>
      </c>
      <c r="E195" s="272"/>
      <c r="F195" s="268"/>
      <c r="G195" s="18"/>
      <c r="H195" s="18"/>
      <c r="J195" s="146"/>
      <c r="K195" s="163"/>
    </row>
    <row r="196" spans="1:11">
      <c r="A196" s="235" t="s">
        <v>282</v>
      </c>
      <c r="B196" s="232" t="s">
        <v>1</v>
      </c>
      <c r="C196" s="231">
        <v>1012</v>
      </c>
      <c r="D196" s="268">
        <v>50.3</v>
      </c>
      <c r="E196" s="272"/>
      <c r="F196" s="268"/>
      <c r="G196" s="18"/>
      <c r="H196" s="18"/>
      <c r="J196" s="146"/>
      <c r="K196" s="163"/>
    </row>
    <row r="197" spans="1:11" ht="28.5" customHeight="1">
      <c r="A197" s="101" t="s">
        <v>292</v>
      </c>
      <c r="B197" s="216" t="s">
        <v>265</v>
      </c>
      <c r="C197" s="12">
        <v>1030</v>
      </c>
      <c r="D197" s="267">
        <f>D199</f>
        <v>0</v>
      </c>
      <c r="E197" s="267">
        <f>E199</f>
        <v>0</v>
      </c>
      <c r="F197" s="267">
        <f>F199</f>
        <v>71.099999999999994</v>
      </c>
      <c r="G197" s="64">
        <f t="shared" si="56"/>
        <v>71.099999999999994</v>
      </c>
      <c r="H197" s="157" t="e">
        <f t="shared" si="57"/>
        <v>#DIV/0!</v>
      </c>
    </row>
    <row r="198" spans="1:11" ht="21.75" customHeight="1">
      <c r="A198" s="101"/>
      <c r="B198" s="144" t="s">
        <v>72</v>
      </c>
      <c r="C198" s="12"/>
      <c r="D198" s="267"/>
      <c r="E198" s="267"/>
      <c r="F198" s="267"/>
      <c r="G198" s="64"/>
      <c r="H198" s="64"/>
    </row>
    <row r="199" spans="1:11" ht="31.5" customHeight="1">
      <c r="A199" s="122" t="s">
        <v>293</v>
      </c>
      <c r="B199" s="141" t="s">
        <v>10</v>
      </c>
      <c r="C199" s="123"/>
      <c r="D199" s="269">
        <f>D200</f>
        <v>0</v>
      </c>
      <c r="E199" s="269">
        <f>E200</f>
        <v>0</v>
      </c>
      <c r="F199" s="269">
        <f>F200</f>
        <v>71.099999999999994</v>
      </c>
      <c r="G199" s="64">
        <f t="shared" si="56"/>
        <v>71.099999999999994</v>
      </c>
      <c r="H199" s="157" t="e">
        <f t="shared" si="57"/>
        <v>#DIV/0!</v>
      </c>
    </row>
    <row r="200" spans="1:11" ht="26.25" customHeight="1">
      <c r="A200" s="125" t="s">
        <v>294</v>
      </c>
      <c r="B200" s="105" t="s">
        <v>266</v>
      </c>
      <c r="C200" s="12">
        <v>1035</v>
      </c>
      <c r="D200" s="270"/>
      <c r="E200" s="270"/>
      <c r="F200" s="270">
        <v>71.099999999999994</v>
      </c>
      <c r="G200" s="18">
        <f t="shared" si="56"/>
        <v>71.099999999999994</v>
      </c>
      <c r="H200" s="154" t="e">
        <f t="shared" si="57"/>
        <v>#DIV/0!</v>
      </c>
    </row>
    <row r="201" spans="1:11" ht="37.5">
      <c r="A201" s="101" t="s">
        <v>301</v>
      </c>
      <c r="B201" s="216" t="s">
        <v>207</v>
      </c>
      <c r="C201" s="9"/>
      <c r="D201" s="267">
        <f t="shared" ref="D201" si="61">SUM(D203,D205)</f>
        <v>10601.300000000001</v>
      </c>
      <c r="E201" s="267">
        <f t="shared" ref="E201:F201" si="62">SUM(E203,E205)</f>
        <v>13280</v>
      </c>
      <c r="F201" s="267">
        <f t="shared" si="62"/>
        <v>12712.4</v>
      </c>
      <c r="G201" s="64">
        <f t="shared" si="56"/>
        <v>-567.60000000000036</v>
      </c>
      <c r="H201" s="64">
        <f t="shared" si="57"/>
        <v>95.725903614457835</v>
      </c>
    </row>
    <row r="202" spans="1:11" ht="23.25" customHeight="1">
      <c r="A202" s="101"/>
      <c r="B202" s="120" t="s">
        <v>72</v>
      </c>
      <c r="C202" s="9"/>
      <c r="D202" s="267"/>
      <c r="E202" s="267"/>
      <c r="F202" s="267"/>
      <c r="G202" s="64"/>
      <c r="H202" s="64"/>
    </row>
    <row r="203" spans="1:11" ht="38.25" customHeight="1">
      <c r="A203" s="122" t="s">
        <v>302</v>
      </c>
      <c r="B203" s="19" t="s">
        <v>76</v>
      </c>
      <c r="C203" s="123">
        <v>1010</v>
      </c>
      <c r="D203" s="269">
        <f>D204</f>
        <v>9284.1</v>
      </c>
      <c r="E203" s="269">
        <f>E204</f>
        <v>12000</v>
      </c>
      <c r="F203" s="269">
        <f>F204</f>
        <v>11855.4</v>
      </c>
      <c r="G203" s="124">
        <f t="shared" si="56"/>
        <v>-144.60000000000036</v>
      </c>
      <c r="H203" s="124">
        <f t="shared" si="57"/>
        <v>98.795000000000002</v>
      </c>
    </row>
    <row r="204" spans="1:11" ht="24.75" customHeight="1">
      <c r="A204" s="125"/>
      <c r="B204" s="120" t="s">
        <v>216</v>
      </c>
      <c r="C204" s="133">
        <v>1014</v>
      </c>
      <c r="D204" s="270">
        <f>9876.4-592.3</f>
        <v>9284.1</v>
      </c>
      <c r="E204" s="270">
        <v>12000</v>
      </c>
      <c r="F204" s="270">
        <v>11855.4</v>
      </c>
      <c r="G204" s="134">
        <f t="shared" si="56"/>
        <v>-144.60000000000036</v>
      </c>
      <c r="H204" s="134">
        <f t="shared" si="57"/>
        <v>98.795000000000002</v>
      </c>
    </row>
    <row r="205" spans="1:11" ht="26.25" customHeight="1">
      <c r="A205" s="122" t="s">
        <v>303</v>
      </c>
      <c r="B205" s="141" t="s">
        <v>10</v>
      </c>
      <c r="C205" s="123">
        <v>1030</v>
      </c>
      <c r="D205" s="269">
        <f t="shared" ref="D205:F205" si="63">SUM(D206)</f>
        <v>1317.2</v>
      </c>
      <c r="E205" s="269">
        <f t="shared" si="63"/>
        <v>1280</v>
      </c>
      <c r="F205" s="269">
        <f t="shared" si="63"/>
        <v>857</v>
      </c>
      <c r="G205" s="124">
        <f t="shared" si="56"/>
        <v>-423</v>
      </c>
      <c r="H205" s="124">
        <f t="shared" si="57"/>
        <v>66.953125</v>
      </c>
    </row>
    <row r="206" spans="1:11" ht="24" customHeight="1">
      <c r="A206" s="125"/>
      <c r="B206" s="225" t="s">
        <v>362</v>
      </c>
      <c r="C206" s="133">
        <v>1034</v>
      </c>
      <c r="D206" s="270">
        <v>1317.2</v>
      </c>
      <c r="E206" s="270">
        <v>1280</v>
      </c>
      <c r="F206" s="270">
        <v>857</v>
      </c>
      <c r="G206" s="134">
        <f t="shared" si="56"/>
        <v>-423</v>
      </c>
      <c r="H206" s="134">
        <f t="shared" si="57"/>
        <v>66.953125</v>
      </c>
    </row>
    <row r="207" spans="1:11" ht="141" customHeight="1">
      <c r="B207" s="359" t="s">
        <v>133</v>
      </c>
      <c r="C207" s="359"/>
      <c r="D207" s="360"/>
      <c r="E207" s="360"/>
      <c r="F207" s="288"/>
      <c r="G207" s="361" t="s">
        <v>251</v>
      </c>
      <c r="H207" s="361"/>
    </row>
    <row r="208" spans="1:11">
      <c r="B208" s="166" t="s">
        <v>54</v>
      </c>
      <c r="C208" s="115"/>
      <c r="D208" s="354" t="s">
        <v>9</v>
      </c>
      <c r="E208" s="354"/>
      <c r="F208" s="289"/>
      <c r="G208" s="355" t="s">
        <v>14</v>
      </c>
      <c r="H208" s="355"/>
    </row>
    <row r="209" spans="2:6">
      <c r="B209" s="115"/>
    </row>
    <row r="210" spans="2:6">
      <c r="B210" s="115"/>
      <c r="C210" s="102"/>
      <c r="D210" s="102"/>
      <c r="E210" s="102"/>
      <c r="F210" s="102"/>
    </row>
    <row r="211" spans="2:6">
      <c r="B211" s="115"/>
      <c r="C211" s="102"/>
      <c r="D211" s="102"/>
      <c r="E211" s="102"/>
      <c r="F211" s="102"/>
    </row>
    <row r="212" spans="2:6">
      <c r="B212" s="115"/>
      <c r="C212" s="102"/>
      <c r="D212" s="102"/>
      <c r="E212" s="102"/>
      <c r="F212" s="102"/>
    </row>
    <row r="213" spans="2:6">
      <c r="B213" s="115"/>
      <c r="C213" s="102"/>
      <c r="D213" s="102"/>
      <c r="E213" s="102"/>
      <c r="F213" s="102"/>
    </row>
    <row r="214" spans="2:6">
      <c r="B214" s="115"/>
      <c r="C214" s="102"/>
      <c r="D214" s="102"/>
      <c r="E214" s="102"/>
      <c r="F214" s="102"/>
    </row>
    <row r="215" spans="2:6">
      <c r="B215" s="115"/>
      <c r="C215" s="102"/>
      <c r="D215" s="102"/>
      <c r="E215" s="102"/>
      <c r="F215" s="102"/>
    </row>
    <row r="216" spans="2:6">
      <c r="B216" s="115"/>
      <c r="C216" s="102"/>
      <c r="D216" s="102"/>
      <c r="E216" s="102"/>
      <c r="F216" s="102"/>
    </row>
    <row r="217" spans="2:6">
      <c r="B217" s="115"/>
      <c r="C217" s="102"/>
      <c r="D217" s="102"/>
      <c r="E217" s="102"/>
      <c r="F217" s="102"/>
    </row>
    <row r="218" spans="2:6">
      <c r="B218" s="115"/>
      <c r="C218" s="102"/>
      <c r="D218" s="102"/>
      <c r="E218" s="102"/>
      <c r="F218" s="102"/>
    </row>
    <row r="219" spans="2:6">
      <c r="B219" s="115"/>
      <c r="C219" s="102"/>
      <c r="D219" s="102"/>
      <c r="E219" s="102"/>
      <c r="F219" s="102"/>
    </row>
    <row r="220" spans="2:6">
      <c r="B220" s="115"/>
      <c r="C220" s="102"/>
      <c r="D220" s="102"/>
      <c r="E220" s="102"/>
      <c r="F220" s="102"/>
    </row>
    <row r="221" spans="2:6">
      <c r="B221" s="115"/>
      <c r="C221" s="102"/>
      <c r="D221" s="102"/>
      <c r="E221" s="102"/>
      <c r="F221" s="102"/>
    </row>
    <row r="222" spans="2:6">
      <c r="B222" s="115"/>
      <c r="C222" s="102"/>
      <c r="D222" s="102"/>
      <c r="E222" s="102"/>
      <c r="F222" s="102"/>
    </row>
    <row r="223" spans="2:6">
      <c r="B223" s="115"/>
      <c r="C223" s="102"/>
      <c r="D223" s="102"/>
      <c r="E223" s="102"/>
      <c r="F223" s="102"/>
    </row>
    <row r="224" spans="2:6">
      <c r="B224" s="115"/>
      <c r="C224" s="102"/>
      <c r="D224" s="102"/>
      <c r="E224" s="102"/>
      <c r="F224" s="102"/>
    </row>
    <row r="225" spans="2:6">
      <c r="B225" s="115"/>
      <c r="C225" s="102"/>
      <c r="D225" s="102"/>
      <c r="E225" s="102"/>
      <c r="F225" s="102"/>
    </row>
    <row r="226" spans="2:6">
      <c r="B226" s="115"/>
      <c r="C226" s="102"/>
      <c r="D226" s="102"/>
      <c r="E226" s="102"/>
      <c r="F226" s="102"/>
    </row>
    <row r="227" spans="2:6">
      <c r="B227" s="115"/>
      <c r="C227" s="102"/>
      <c r="D227" s="102"/>
      <c r="E227" s="102"/>
      <c r="F227" s="102"/>
    </row>
    <row r="228" spans="2:6">
      <c r="B228" s="115"/>
      <c r="C228" s="102"/>
      <c r="D228" s="102"/>
      <c r="E228" s="102"/>
      <c r="F228" s="102"/>
    </row>
    <row r="229" spans="2:6">
      <c r="B229" s="115"/>
      <c r="C229" s="102"/>
      <c r="D229" s="102"/>
      <c r="E229" s="102"/>
      <c r="F229" s="102"/>
    </row>
    <row r="230" spans="2:6">
      <c r="B230" s="115"/>
      <c r="C230" s="102"/>
      <c r="D230" s="102"/>
      <c r="E230" s="102"/>
      <c r="F230" s="102"/>
    </row>
    <row r="231" spans="2:6">
      <c r="B231" s="115"/>
      <c r="C231" s="102"/>
      <c r="D231" s="102"/>
      <c r="E231" s="102"/>
      <c r="F231" s="102"/>
    </row>
    <row r="232" spans="2:6">
      <c r="B232" s="115"/>
      <c r="C232" s="102"/>
      <c r="D232" s="102"/>
      <c r="E232" s="102"/>
      <c r="F232" s="102"/>
    </row>
    <row r="233" spans="2:6">
      <c r="B233" s="115"/>
      <c r="C233" s="102"/>
      <c r="D233" s="102"/>
      <c r="E233" s="102"/>
      <c r="F233" s="102"/>
    </row>
    <row r="234" spans="2:6">
      <c r="B234" s="115"/>
      <c r="C234" s="102"/>
      <c r="D234" s="102"/>
      <c r="E234" s="102"/>
      <c r="F234" s="102"/>
    </row>
    <row r="235" spans="2:6">
      <c r="B235" s="115"/>
      <c r="C235" s="102"/>
      <c r="D235" s="102"/>
      <c r="E235" s="102"/>
      <c r="F235" s="102"/>
    </row>
    <row r="236" spans="2:6">
      <c r="B236" s="115"/>
      <c r="C236" s="102"/>
      <c r="D236" s="102"/>
      <c r="E236" s="102"/>
      <c r="F236" s="102"/>
    </row>
    <row r="237" spans="2:6">
      <c r="B237" s="115"/>
      <c r="C237" s="102"/>
      <c r="D237" s="102"/>
      <c r="E237" s="102"/>
      <c r="F237" s="102"/>
    </row>
    <row r="238" spans="2:6">
      <c r="B238" s="115"/>
      <c r="C238" s="102"/>
      <c r="D238" s="102"/>
      <c r="E238" s="102"/>
      <c r="F238" s="102"/>
    </row>
    <row r="239" spans="2:6">
      <c r="B239" s="115"/>
      <c r="C239" s="102"/>
      <c r="D239" s="102"/>
      <c r="E239" s="102"/>
      <c r="F239" s="102"/>
    </row>
    <row r="240" spans="2:6">
      <c r="B240" s="115"/>
      <c r="C240" s="102"/>
      <c r="D240" s="102"/>
      <c r="E240" s="102"/>
      <c r="F240" s="102"/>
    </row>
    <row r="241" spans="2:6">
      <c r="B241" s="115"/>
      <c r="C241" s="102"/>
      <c r="D241" s="102"/>
      <c r="E241" s="102"/>
      <c r="F241" s="102"/>
    </row>
    <row r="242" spans="2:6">
      <c r="B242" s="115"/>
      <c r="C242" s="102"/>
      <c r="D242" s="102"/>
      <c r="E242" s="102"/>
      <c r="F242" s="102"/>
    </row>
  </sheetData>
  <mergeCells count="7">
    <mergeCell ref="D208:E208"/>
    <mergeCell ref="G208:H208"/>
    <mergeCell ref="B1:H1"/>
    <mergeCell ref="A5:B5"/>
    <mergeCell ref="B207:C207"/>
    <mergeCell ref="D207:E207"/>
    <mergeCell ref="G207:H207"/>
  </mergeCells>
  <pageMargins left="0.39370078740157483" right="0.39370078740157483" top="0.78740157480314965" bottom="0.39370078740157483" header="0.39370078740157483" footer="0.19685039370078741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G80"/>
  <sheetViews>
    <sheetView view="pageBreakPreview" topLeftCell="A40" zoomScaleSheetLayoutView="100" workbookViewId="0">
      <selection activeCell="E44" sqref="E44:E45"/>
    </sheetView>
  </sheetViews>
  <sheetFormatPr defaultRowHeight="18.75"/>
  <cols>
    <col min="1" max="1" width="76.42578125" style="5" customWidth="1"/>
    <col min="2" max="2" width="10.140625" style="62" customWidth="1"/>
    <col min="3" max="3" width="14.7109375" style="266" customWidth="1"/>
    <col min="4" max="4" width="14.28515625" style="27" customWidth="1"/>
    <col min="5" max="5" width="14.140625" style="27" customWidth="1"/>
    <col min="6" max="6" width="14.28515625" style="62" customWidth="1"/>
    <col min="7" max="7" width="14" style="62" customWidth="1"/>
    <col min="8" max="16384" width="9.140625" style="5"/>
  </cols>
  <sheetData>
    <row r="1" spans="1:7" ht="19.5" customHeight="1">
      <c r="A1" s="362" t="s">
        <v>85</v>
      </c>
      <c r="B1" s="362"/>
      <c r="C1" s="362"/>
      <c r="D1" s="362"/>
      <c r="E1" s="362"/>
      <c r="F1" s="362"/>
    </row>
    <row r="2" spans="1:7" ht="15" customHeight="1">
      <c r="A2" s="111"/>
      <c r="B2" s="91"/>
      <c r="C2" s="258"/>
      <c r="D2" s="250"/>
      <c r="E2" s="250"/>
      <c r="F2" s="91"/>
      <c r="G2" s="23" t="s">
        <v>59</v>
      </c>
    </row>
    <row r="3" spans="1:7" ht="87.75" customHeight="1">
      <c r="A3" s="48" t="s">
        <v>20</v>
      </c>
      <c r="B3" s="10" t="s">
        <v>4</v>
      </c>
      <c r="C3" s="10" t="s">
        <v>308</v>
      </c>
      <c r="D3" s="257" t="s">
        <v>310</v>
      </c>
      <c r="E3" s="10" t="s">
        <v>309</v>
      </c>
      <c r="F3" s="106" t="s">
        <v>95</v>
      </c>
      <c r="G3" s="10" t="s">
        <v>96</v>
      </c>
    </row>
    <row r="4" spans="1:7" s="13" customFormat="1" ht="21" customHeight="1">
      <c r="A4" s="48">
        <v>1</v>
      </c>
      <c r="B4" s="37">
        <v>2</v>
      </c>
      <c r="C4" s="259">
        <v>3</v>
      </c>
      <c r="D4" s="16">
        <v>4</v>
      </c>
      <c r="E4" s="16">
        <v>5</v>
      </c>
      <c r="F4" s="37">
        <v>6</v>
      </c>
      <c r="G4" s="14">
        <v>7</v>
      </c>
    </row>
    <row r="5" spans="1:7" ht="32.25" customHeight="1">
      <c r="A5" s="29" t="s">
        <v>217</v>
      </c>
      <c r="B5" s="12">
        <v>4000</v>
      </c>
      <c r="C5" s="49">
        <f>C6+C42</f>
        <v>146087.1</v>
      </c>
      <c r="D5" s="49">
        <f>D6+D42+D45</f>
        <v>5749.9</v>
      </c>
      <c r="E5" s="49">
        <f>E6+E42+E45</f>
        <v>3422.5</v>
      </c>
      <c r="F5" s="50">
        <f t="shared" ref="F5:F6" si="0">E5-D5</f>
        <v>-2327.3999999999996</v>
      </c>
      <c r="G5" s="206">
        <f>(E5/D5)*100</f>
        <v>59.522774309118418</v>
      </c>
    </row>
    <row r="6" spans="1:7" ht="24.75" customHeight="1">
      <c r="A6" s="19" t="s">
        <v>153</v>
      </c>
      <c r="B6" s="209">
        <v>4020</v>
      </c>
      <c r="C6" s="211">
        <f>SUM(C7:C35)</f>
        <v>20883.000000000004</v>
      </c>
      <c r="D6" s="211">
        <f>SUM(D36:D40)</f>
        <v>3238</v>
      </c>
      <c r="E6" s="211">
        <f>SUM(E36:E41)</f>
        <v>2033.8</v>
      </c>
      <c r="F6" s="212">
        <f t="shared" si="0"/>
        <v>-1204.2</v>
      </c>
      <c r="G6" s="207">
        <f t="shared" ref="G6" si="1">(E6/D6)*100</f>
        <v>62.810376775787525</v>
      </c>
    </row>
    <row r="7" spans="1:7" ht="24.75" customHeight="1">
      <c r="A7" s="223" t="s">
        <v>329</v>
      </c>
      <c r="B7" s="209"/>
      <c r="C7" s="260">
        <v>3200</v>
      </c>
      <c r="D7" s="211"/>
      <c r="E7" s="211"/>
      <c r="F7" s="212"/>
      <c r="G7" s="207"/>
    </row>
    <row r="8" spans="1:7" ht="34.5" customHeight="1">
      <c r="A8" s="223" t="s">
        <v>330</v>
      </c>
      <c r="B8" s="209"/>
      <c r="C8" s="260">
        <v>310.8</v>
      </c>
      <c r="D8" s="211"/>
      <c r="E8" s="211"/>
      <c r="F8" s="212"/>
      <c r="G8" s="207"/>
    </row>
    <row r="9" spans="1:7" ht="24.75" customHeight="1">
      <c r="A9" s="223" t="s">
        <v>331</v>
      </c>
      <c r="B9" s="209"/>
      <c r="C9" s="260">
        <v>2400</v>
      </c>
      <c r="D9" s="211"/>
      <c r="E9" s="211"/>
      <c r="F9" s="212"/>
      <c r="G9" s="207"/>
    </row>
    <row r="10" spans="1:7" ht="24.75" customHeight="1">
      <c r="A10" s="223" t="s">
        <v>332</v>
      </c>
      <c r="B10" s="209"/>
      <c r="C10" s="260">
        <v>55</v>
      </c>
      <c r="D10" s="211"/>
      <c r="E10" s="211"/>
      <c r="F10" s="212"/>
      <c r="G10" s="207"/>
    </row>
    <row r="11" spans="1:7" ht="36.75" customHeight="1">
      <c r="A11" s="223" t="s">
        <v>333</v>
      </c>
      <c r="B11" s="209"/>
      <c r="C11" s="260">
        <v>74.5</v>
      </c>
      <c r="D11" s="211"/>
      <c r="E11" s="211"/>
      <c r="F11" s="212"/>
      <c r="G11" s="207"/>
    </row>
    <row r="12" spans="1:7" ht="33.75" customHeight="1">
      <c r="A12" s="223" t="s">
        <v>334</v>
      </c>
      <c r="B12" s="209"/>
      <c r="C12" s="261">
        <v>998.6</v>
      </c>
      <c r="D12" s="211"/>
      <c r="E12" s="211"/>
      <c r="F12" s="212"/>
      <c r="G12" s="207"/>
    </row>
    <row r="13" spans="1:7" ht="35.25" customHeight="1">
      <c r="A13" s="223" t="s">
        <v>335</v>
      </c>
      <c r="B13" s="209"/>
      <c r="C13" s="261">
        <v>109.5</v>
      </c>
      <c r="D13" s="211"/>
      <c r="E13" s="211"/>
      <c r="F13" s="212"/>
      <c r="G13" s="207"/>
    </row>
    <row r="14" spans="1:7" ht="36" customHeight="1">
      <c r="A14" s="224" t="s">
        <v>336</v>
      </c>
      <c r="B14" s="209"/>
      <c r="C14" s="261">
        <v>22.5</v>
      </c>
      <c r="D14" s="211"/>
      <c r="E14" s="211"/>
      <c r="F14" s="212"/>
      <c r="G14" s="207"/>
    </row>
    <row r="15" spans="1:7" ht="24.75" customHeight="1">
      <c r="A15" s="223" t="s">
        <v>337</v>
      </c>
      <c r="B15" s="209"/>
      <c r="C15" s="260">
        <v>42.9</v>
      </c>
      <c r="D15" s="211"/>
      <c r="E15" s="211"/>
      <c r="F15" s="212"/>
      <c r="G15" s="207"/>
    </row>
    <row r="16" spans="1:7" ht="24.75" customHeight="1">
      <c r="A16" s="222" t="s">
        <v>338</v>
      </c>
      <c r="B16" s="209"/>
      <c r="C16" s="262">
        <v>3567.6</v>
      </c>
      <c r="D16" s="211"/>
      <c r="E16" s="211"/>
      <c r="F16" s="212"/>
      <c r="G16" s="207"/>
    </row>
    <row r="17" spans="1:7" ht="24.75" customHeight="1">
      <c r="A17" s="222" t="s">
        <v>339</v>
      </c>
      <c r="B17" s="209"/>
      <c r="C17" s="262">
        <v>1045.5</v>
      </c>
      <c r="D17" s="211"/>
      <c r="E17" s="211"/>
      <c r="F17" s="212"/>
      <c r="G17" s="207"/>
    </row>
    <row r="18" spans="1:7" ht="24.75" customHeight="1">
      <c r="A18" s="222" t="s">
        <v>340</v>
      </c>
      <c r="B18" s="209"/>
      <c r="C18" s="262">
        <v>106.5</v>
      </c>
      <c r="D18" s="211"/>
      <c r="E18" s="211"/>
      <c r="F18" s="212"/>
      <c r="G18" s="207"/>
    </row>
    <row r="19" spans="1:7" ht="24.75" customHeight="1">
      <c r="A19" s="222" t="s">
        <v>341</v>
      </c>
      <c r="B19" s="209"/>
      <c r="C19" s="262">
        <v>1213.7</v>
      </c>
      <c r="D19" s="211"/>
      <c r="E19" s="211"/>
      <c r="F19" s="212"/>
      <c r="G19" s="207"/>
    </row>
    <row r="20" spans="1:7" ht="24.75" customHeight="1">
      <c r="A20" s="222" t="s">
        <v>342</v>
      </c>
      <c r="B20" s="209"/>
      <c r="C20" s="262">
        <v>378</v>
      </c>
      <c r="D20" s="211"/>
      <c r="E20" s="211"/>
      <c r="F20" s="212"/>
      <c r="G20" s="207"/>
    </row>
    <row r="21" spans="1:7" ht="24.75" customHeight="1">
      <c r="A21" s="222" t="s">
        <v>343</v>
      </c>
      <c r="B21" s="209"/>
      <c r="C21" s="262">
        <v>432</v>
      </c>
      <c r="D21" s="211"/>
      <c r="E21" s="211"/>
      <c r="F21" s="212"/>
      <c r="G21" s="207"/>
    </row>
    <row r="22" spans="1:7" ht="24.75" customHeight="1">
      <c r="A22" s="222" t="s">
        <v>344</v>
      </c>
      <c r="B22" s="209"/>
      <c r="C22" s="262">
        <v>34</v>
      </c>
      <c r="D22" s="211"/>
      <c r="E22" s="211"/>
      <c r="F22" s="212"/>
      <c r="G22" s="207"/>
    </row>
    <row r="23" spans="1:7" ht="24.75" customHeight="1">
      <c r="A23" s="222" t="s">
        <v>345</v>
      </c>
      <c r="B23" s="209"/>
      <c r="C23" s="262">
        <v>151</v>
      </c>
      <c r="D23" s="211"/>
      <c r="E23" s="211"/>
      <c r="F23" s="212"/>
      <c r="G23" s="207"/>
    </row>
    <row r="24" spans="1:7" ht="24.75" customHeight="1">
      <c r="A24" s="222" t="s">
        <v>346</v>
      </c>
      <c r="B24" s="209"/>
      <c r="C24" s="262">
        <v>294.8</v>
      </c>
      <c r="D24" s="211"/>
      <c r="E24" s="211"/>
      <c r="F24" s="212"/>
      <c r="G24" s="207"/>
    </row>
    <row r="25" spans="1:7" ht="24.75" customHeight="1">
      <c r="A25" s="222" t="s">
        <v>347</v>
      </c>
      <c r="B25" s="209"/>
      <c r="C25" s="262">
        <v>50</v>
      </c>
      <c r="D25" s="211"/>
      <c r="E25" s="211"/>
      <c r="F25" s="212"/>
      <c r="G25" s="207"/>
    </row>
    <row r="26" spans="1:7" ht="35.25" customHeight="1">
      <c r="A26" s="222" t="s">
        <v>348</v>
      </c>
      <c r="B26" s="209"/>
      <c r="C26" s="262">
        <v>34.1</v>
      </c>
      <c r="D26" s="211"/>
      <c r="E26" s="211"/>
      <c r="F26" s="212"/>
      <c r="G26" s="207"/>
    </row>
    <row r="27" spans="1:7" ht="24.75" customHeight="1">
      <c r="A27" s="222" t="s">
        <v>349</v>
      </c>
      <c r="B27" s="209"/>
      <c r="C27" s="262">
        <v>53.9</v>
      </c>
      <c r="D27" s="211"/>
      <c r="E27" s="211"/>
      <c r="F27" s="212"/>
      <c r="G27" s="207"/>
    </row>
    <row r="28" spans="1:7" ht="24.75" customHeight="1">
      <c r="A28" s="222" t="s">
        <v>350</v>
      </c>
      <c r="B28" s="209"/>
      <c r="C28" s="262">
        <v>50</v>
      </c>
      <c r="D28" s="211"/>
      <c r="E28" s="211"/>
      <c r="F28" s="212"/>
      <c r="G28" s="207"/>
    </row>
    <row r="29" spans="1:7" ht="24.75" customHeight="1">
      <c r="A29" s="222" t="s">
        <v>351</v>
      </c>
      <c r="B29" s="209"/>
      <c r="C29" s="262">
        <v>50</v>
      </c>
      <c r="D29" s="211"/>
      <c r="E29" s="211"/>
      <c r="F29" s="212"/>
      <c r="G29" s="207"/>
    </row>
    <row r="30" spans="1:7" ht="24.75" customHeight="1">
      <c r="A30" s="222" t="s">
        <v>352</v>
      </c>
      <c r="B30" s="209"/>
      <c r="C30" s="262">
        <v>3600</v>
      </c>
      <c r="D30" s="211"/>
      <c r="E30" s="211"/>
      <c r="F30" s="212"/>
      <c r="G30" s="207"/>
    </row>
    <row r="31" spans="1:7" ht="24.75" customHeight="1">
      <c r="A31" s="222" t="s">
        <v>353</v>
      </c>
      <c r="B31" s="209"/>
      <c r="C31" s="262">
        <v>141.69999999999999</v>
      </c>
      <c r="D31" s="211"/>
      <c r="E31" s="211"/>
      <c r="F31" s="212"/>
      <c r="G31" s="207"/>
    </row>
    <row r="32" spans="1:7" ht="24.75" customHeight="1">
      <c r="A32" s="222" t="s">
        <v>354</v>
      </c>
      <c r="B32" s="209"/>
      <c r="C32" s="262">
        <v>2192.9</v>
      </c>
      <c r="D32" s="211"/>
      <c r="E32" s="211"/>
      <c r="F32" s="212"/>
      <c r="G32" s="207"/>
    </row>
    <row r="33" spans="1:7" ht="24.75" customHeight="1">
      <c r="A33" s="222" t="s">
        <v>355</v>
      </c>
      <c r="B33" s="209"/>
      <c r="C33" s="262">
        <v>2.1</v>
      </c>
      <c r="D33" s="211"/>
      <c r="E33" s="211"/>
      <c r="F33" s="212"/>
      <c r="G33" s="207"/>
    </row>
    <row r="34" spans="1:7" ht="24.75" customHeight="1">
      <c r="A34" s="222" t="s">
        <v>345</v>
      </c>
      <c r="B34" s="209"/>
      <c r="C34" s="262">
        <v>123</v>
      </c>
      <c r="D34" s="211"/>
      <c r="E34" s="211"/>
      <c r="F34" s="212"/>
      <c r="G34" s="207"/>
    </row>
    <row r="35" spans="1:7" ht="24.75" customHeight="1">
      <c r="A35" s="222" t="s">
        <v>356</v>
      </c>
      <c r="B35" s="209"/>
      <c r="C35" s="262">
        <v>148.4</v>
      </c>
      <c r="D35" s="211"/>
      <c r="E35" s="211"/>
      <c r="F35" s="212"/>
      <c r="G35" s="207"/>
    </row>
    <row r="36" spans="1:7" ht="23.25" customHeight="1">
      <c r="A36" s="15" t="s">
        <v>267</v>
      </c>
      <c r="B36" s="20"/>
      <c r="C36" s="18"/>
      <c r="D36" s="18"/>
      <c r="E36" s="18">
        <v>96</v>
      </c>
      <c r="F36" s="11">
        <f>E36-D36</f>
        <v>96</v>
      </c>
      <c r="G36" s="97" t="e">
        <f>E36/D36*100</f>
        <v>#DIV/0!</v>
      </c>
    </row>
    <row r="37" spans="1:7" ht="43.5" customHeight="1">
      <c r="A37" s="15" t="s">
        <v>268</v>
      </c>
      <c r="B37" s="20"/>
      <c r="C37" s="18"/>
      <c r="D37" s="18">
        <v>238</v>
      </c>
      <c r="E37" s="18">
        <v>237.9</v>
      </c>
      <c r="F37" s="11">
        <f t="shared" ref="F37:F39" si="2">E37-D37</f>
        <v>-9.9999999999994316E-2</v>
      </c>
      <c r="G37" s="97">
        <f t="shared" ref="G37:G38" si="3">E37/D37*100</f>
        <v>99.957983193277315</v>
      </c>
    </row>
    <row r="38" spans="1:7" ht="26.25" customHeight="1">
      <c r="A38" s="15" t="s">
        <v>269</v>
      </c>
      <c r="B38" s="20"/>
      <c r="C38" s="18"/>
      <c r="D38" s="18"/>
      <c r="E38" s="18">
        <v>24.8</v>
      </c>
      <c r="F38" s="11">
        <f t="shared" si="2"/>
        <v>24.8</v>
      </c>
      <c r="G38" s="97" t="e">
        <f t="shared" si="3"/>
        <v>#DIV/0!</v>
      </c>
    </row>
    <row r="39" spans="1:7" ht="27" customHeight="1">
      <c r="A39" s="15" t="s">
        <v>270</v>
      </c>
      <c r="B39" s="20"/>
      <c r="C39" s="18"/>
      <c r="D39" s="18"/>
      <c r="E39" s="18">
        <v>26.9</v>
      </c>
      <c r="F39" s="11">
        <f t="shared" si="2"/>
        <v>26.9</v>
      </c>
      <c r="G39" s="97"/>
    </row>
    <row r="40" spans="1:7" ht="26.25" customHeight="1">
      <c r="A40" s="243" t="s">
        <v>363</v>
      </c>
      <c r="B40" s="20"/>
      <c r="C40" s="18"/>
      <c r="D40" s="18">
        <v>3000</v>
      </c>
      <c r="E40" s="18"/>
      <c r="F40" s="11"/>
      <c r="G40" s="30"/>
    </row>
    <row r="41" spans="1:7" ht="26.25" customHeight="1">
      <c r="A41" s="243" t="s">
        <v>379</v>
      </c>
      <c r="B41" s="20"/>
      <c r="C41" s="18"/>
      <c r="D41" s="18"/>
      <c r="E41" s="18">
        <v>1648.2</v>
      </c>
      <c r="F41" s="11"/>
      <c r="G41" s="30"/>
    </row>
    <row r="42" spans="1:7" ht="46.5" customHeight="1">
      <c r="A42" s="19" t="s">
        <v>57</v>
      </c>
      <c r="B42" s="209">
        <v>4050</v>
      </c>
      <c r="C42" s="124">
        <f>C43</f>
        <v>125204.1</v>
      </c>
      <c r="D42" s="134"/>
      <c r="E42" s="124">
        <f>E43+E44</f>
        <v>65.099999999999994</v>
      </c>
      <c r="F42" s="203">
        <f t="shared" ref="F42" si="4">E42-D42</f>
        <v>65.099999999999994</v>
      </c>
      <c r="G42" s="210" t="e">
        <f t="shared" ref="G42:G46" si="5">E42/D42*100</f>
        <v>#DIV/0!</v>
      </c>
    </row>
    <row r="43" spans="1:7" ht="39.75" customHeight="1">
      <c r="A43" s="100" t="s">
        <v>254</v>
      </c>
      <c r="B43" s="20"/>
      <c r="C43" s="263">
        <v>125204.1</v>
      </c>
      <c r="D43" s="18"/>
      <c r="E43" s="40"/>
      <c r="F43" s="40"/>
      <c r="G43" s="97" t="e">
        <f t="shared" si="5"/>
        <v>#DIV/0!</v>
      </c>
    </row>
    <row r="44" spans="1:7" ht="39.75" customHeight="1">
      <c r="A44" s="100" t="s">
        <v>381</v>
      </c>
      <c r="B44" s="20"/>
      <c r="C44" s="263"/>
      <c r="D44" s="18"/>
      <c r="E44" s="263">
        <v>65.099999999999994</v>
      </c>
      <c r="F44" s="40"/>
      <c r="G44" s="97"/>
    </row>
    <row r="45" spans="1:7" ht="24.75" customHeight="1">
      <c r="A45" s="204" t="s">
        <v>271</v>
      </c>
      <c r="B45" s="147">
        <v>4060</v>
      </c>
      <c r="C45" s="205"/>
      <c r="D45" s="124">
        <f>D46</f>
        <v>2511.9</v>
      </c>
      <c r="E45" s="312">
        <f>E46+E47+E48</f>
        <v>1323.6</v>
      </c>
      <c r="F45" s="203">
        <f t="shared" ref="F45:F46" si="6">E45-D45</f>
        <v>-1188.3000000000002</v>
      </c>
      <c r="G45" s="208">
        <f t="shared" si="5"/>
        <v>52.693180461005603</v>
      </c>
    </row>
    <row r="46" spans="1:7" ht="39.75" customHeight="1">
      <c r="A46" s="145" t="s">
        <v>272</v>
      </c>
      <c r="B46" s="10"/>
      <c r="C46" s="18"/>
      <c r="D46" s="18">
        <v>2511.9</v>
      </c>
      <c r="E46" s="18">
        <v>1126.5</v>
      </c>
      <c r="F46" s="11">
        <f t="shared" si="6"/>
        <v>-1385.4</v>
      </c>
      <c r="G46" s="30">
        <f t="shared" si="5"/>
        <v>44.846530514749787</v>
      </c>
    </row>
    <row r="47" spans="1:7" ht="18.75" customHeight="1">
      <c r="A47" s="145" t="s">
        <v>380</v>
      </c>
      <c r="B47" s="10"/>
      <c r="C47" s="18"/>
      <c r="D47" s="18"/>
      <c r="E47" s="18">
        <v>177.5</v>
      </c>
      <c r="F47" s="11"/>
      <c r="G47" s="30"/>
    </row>
    <row r="48" spans="1:7" ht="18.75" customHeight="1">
      <c r="A48" s="100" t="s">
        <v>382</v>
      </c>
      <c r="B48" s="10"/>
      <c r="C48" s="18"/>
      <c r="D48" s="18"/>
      <c r="E48" s="18">
        <v>19.600000000000001</v>
      </c>
      <c r="F48" s="11"/>
      <c r="G48" s="30"/>
    </row>
    <row r="49" spans="1:7" ht="77.25" customHeight="1">
      <c r="A49" s="363" t="s">
        <v>133</v>
      </c>
      <c r="B49" s="363"/>
      <c r="C49" s="264"/>
      <c r="D49" s="265"/>
      <c r="E49" s="94"/>
      <c r="F49" s="95" t="s">
        <v>251</v>
      </c>
      <c r="G49" s="96"/>
    </row>
    <row r="50" spans="1:7" s="13" customFormat="1" ht="16.5" customHeight="1">
      <c r="A50" s="24" t="s">
        <v>8</v>
      </c>
      <c r="B50" s="112"/>
      <c r="C50" s="364" t="s">
        <v>9</v>
      </c>
      <c r="D50" s="364"/>
      <c r="E50" s="365" t="s">
        <v>14</v>
      </c>
      <c r="F50" s="365"/>
      <c r="G50" s="365"/>
    </row>
    <row r="51" spans="1:7">
      <c r="A51" s="6"/>
    </row>
    <row r="52" spans="1:7">
      <c r="A52" s="6"/>
    </row>
    <row r="53" spans="1:7">
      <c r="A53" s="6"/>
    </row>
    <row r="54" spans="1:7">
      <c r="A54" s="6"/>
    </row>
    <row r="55" spans="1:7">
      <c r="A55" s="6"/>
    </row>
    <row r="56" spans="1:7">
      <c r="A56" s="6"/>
    </row>
    <row r="57" spans="1:7">
      <c r="A57" s="6"/>
    </row>
    <row r="58" spans="1:7">
      <c r="A58" s="6"/>
    </row>
    <row r="59" spans="1:7">
      <c r="A59" s="6"/>
    </row>
    <row r="60" spans="1:7">
      <c r="A60" s="6"/>
    </row>
    <row r="61" spans="1:7">
      <c r="A61" s="6"/>
    </row>
    <row r="62" spans="1:7">
      <c r="A62" s="6"/>
    </row>
    <row r="63" spans="1:7">
      <c r="A63" s="6"/>
    </row>
    <row r="64" spans="1:7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</sheetData>
  <mergeCells count="4">
    <mergeCell ref="A1:F1"/>
    <mergeCell ref="A49:B49"/>
    <mergeCell ref="C50:D50"/>
    <mergeCell ref="E50:G50"/>
  </mergeCells>
  <printOptions horizontalCentered="1"/>
  <pageMargins left="0.39370078740157483" right="0.39370078740157483" top="0.59055118110236227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N25"/>
  <sheetViews>
    <sheetView view="pageBreakPreview" topLeftCell="A7" zoomScale="60" zoomScaleNormal="60" workbookViewId="0">
      <selection activeCell="F4" sqref="F1:F1048576"/>
    </sheetView>
  </sheetViews>
  <sheetFormatPr defaultRowHeight="20.25"/>
  <cols>
    <col min="1" max="1" width="5.42578125" style="33" customWidth="1"/>
    <col min="2" max="2" width="36.28515625" style="33" customWidth="1"/>
    <col min="3" max="3" width="14.28515625" style="33" customWidth="1"/>
    <col min="4" max="4" width="13.7109375" style="33" customWidth="1"/>
    <col min="5" max="5" width="14" style="33" customWidth="1"/>
    <col min="6" max="6" width="14.5703125" style="33" customWidth="1"/>
    <col min="7" max="7" width="14" style="33" customWidth="1"/>
    <col min="8" max="8" width="13.5703125" style="33" customWidth="1"/>
    <col min="9" max="9" width="13.7109375" style="33" customWidth="1"/>
    <col min="10" max="10" width="13.42578125" style="33" customWidth="1"/>
    <col min="11" max="11" width="13.5703125" style="33" customWidth="1"/>
    <col min="12" max="12" width="13.140625" style="33" customWidth="1"/>
    <col min="13" max="13" width="12.28515625" style="33" customWidth="1"/>
    <col min="14" max="14" width="13.42578125" style="33" customWidth="1"/>
    <col min="15" max="16" width="9.140625" style="3"/>
    <col min="17" max="19" width="9.140625" style="3" customWidth="1"/>
    <col min="20" max="16384" width="9.140625" style="3"/>
  </cols>
  <sheetData>
    <row r="1" spans="1:14" s="7" customFormat="1" ht="32.25" customHeight="1">
      <c r="A1" s="313" t="s">
        <v>139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4"/>
    </row>
    <row r="2" spans="1:14">
      <c r="A2" s="57"/>
      <c r="B2" s="57"/>
      <c r="C2" s="35"/>
      <c r="D2" s="35"/>
      <c r="E2" s="35"/>
      <c r="F2" s="35"/>
      <c r="N2" s="58" t="s">
        <v>45</v>
      </c>
    </row>
    <row r="3" spans="1:14" ht="33.75" customHeight="1">
      <c r="A3" s="369" t="s">
        <v>6</v>
      </c>
      <c r="B3" s="375" t="s">
        <v>17</v>
      </c>
      <c r="C3" s="371" t="s">
        <v>104</v>
      </c>
      <c r="D3" s="372"/>
      <c r="E3" s="371" t="s">
        <v>210</v>
      </c>
      <c r="F3" s="372"/>
      <c r="G3" s="371" t="s">
        <v>105</v>
      </c>
      <c r="H3" s="372"/>
      <c r="I3" s="371" t="s">
        <v>211</v>
      </c>
      <c r="J3" s="372"/>
      <c r="K3" s="371" t="s">
        <v>106</v>
      </c>
      <c r="L3" s="372"/>
      <c r="M3" s="372"/>
      <c r="N3" s="373"/>
    </row>
    <row r="4" spans="1:14" ht="81" customHeight="1">
      <c r="A4" s="370"/>
      <c r="B4" s="376"/>
      <c r="C4" s="257" t="s">
        <v>310</v>
      </c>
      <c r="D4" s="10" t="s">
        <v>309</v>
      </c>
      <c r="E4" s="257" t="s">
        <v>310</v>
      </c>
      <c r="F4" s="10" t="s">
        <v>309</v>
      </c>
      <c r="G4" s="257" t="s">
        <v>310</v>
      </c>
      <c r="H4" s="10" t="s">
        <v>309</v>
      </c>
      <c r="I4" s="257" t="s">
        <v>310</v>
      </c>
      <c r="J4" s="10" t="s">
        <v>309</v>
      </c>
      <c r="K4" s="257" t="s">
        <v>310</v>
      </c>
      <c r="L4" s="10" t="s">
        <v>309</v>
      </c>
      <c r="M4" s="37" t="s">
        <v>92</v>
      </c>
      <c r="N4" s="37" t="s">
        <v>94</v>
      </c>
    </row>
    <row r="5" spans="1:14" ht="16.5" customHeight="1">
      <c r="A5" s="37">
        <v>1</v>
      </c>
      <c r="B5" s="113">
        <v>2</v>
      </c>
      <c r="C5" s="14">
        <v>3</v>
      </c>
      <c r="D5" s="37">
        <v>4</v>
      </c>
      <c r="E5" s="14">
        <v>5</v>
      </c>
      <c r="F5" s="37">
        <v>6</v>
      </c>
      <c r="G5" s="14">
        <v>7</v>
      </c>
      <c r="H5" s="37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</row>
    <row r="6" spans="1:14" ht="63.75" customHeight="1">
      <c r="A6" s="165">
        <v>1</v>
      </c>
      <c r="B6" s="148" t="s">
        <v>273</v>
      </c>
      <c r="C6" s="38"/>
      <c r="D6" s="38"/>
      <c r="E6" s="38">
        <v>3000</v>
      </c>
      <c r="F6" s="38"/>
      <c r="G6" s="38"/>
      <c r="H6" s="38">
        <v>0</v>
      </c>
      <c r="I6" s="38">
        <f>I7+I8+I10+I11</f>
        <v>238</v>
      </c>
      <c r="J6" s="38">
        <f>J7+J8+J9+J10+J11+J12</f>
        <v>2033.8</v>
      </c>
      <c r="K6" s="38">
        <f>C6+E6+G6+I6</f>
        <v>3238</v>
      </c>
      <c r="L6" s="38">
        <f>D6+F6+H6+J6</f>
        <v>2033.8</v>
      </c>
      <c r="M6" s="38">
        <f>K6-L6</f>
        <v>1204.2</v>
      </c>
      <c r="N6" s="38"/>
    </row>
    <row r="7" spans="1:14" ht="54" customHeight="1">
      <c r="A7" s="165"/>
      <c r="B7" s="15" t="s">
        <v>267</v>
      </c>
      <c r="C7" s="38"/>
      <c r="D7" s="38"/>
      <c r="E7" s="38"/>
      <c r="F7" s="38"/>
      <c r="G7" s="38"/>
      <c r="H7" s="38"/>
      <c r="I7" s="38"/>
      <c r="J7" s="18">
        <v>96</v>
      </c>
      <c r="K7" s="38">
        <f t="shared" ref="K7:K13" si="0">C7+E7+G7+I7</f>
        <v>0</v>
      </c>
      <c r="L7" s="38">
        <f t="shared" ref="L7:L13" si="1">D7+F7+H7+J7</f>
        <v>96</v>
      </c>
      <c r="M7" s="38">
        <f t="shared" ref="M7:M13" si="2">K7-L7</f>
        <v>-96</v>
      </c>
      <c r="N7" s="98" t="e">
        <f t="shared" ref="N7:N11" si="3">L7/K7*100</f>
        <v>#DIV/0!</v>
      </c>
    </row>
    <row r="8" spans="1:14" ht="75.75" customHeight="1">
      <c r="A8" s="165"/>
      <c r="B8" s="15" t="s">
        <v>268</v>
      </c>
      <c r="C8" s="38"/>
      <c r="D8" s="38"/>
      <c r="E8" s="38"/>
      <c r="F8" s="38"/>
      <c r="G8" s="38"/>
      <c r="H8" s="38"/>
      <c r="I8" s="38">
        <v>238</v>
      </c>
      <c r="J8" s="18">
        <v>237.9</v>
      </c>
      <c r="K8" s="38">
        <f t="shared" si="0"/>
        <v>238</v>
      </c>
      <c r="L8" s="38">
        <f t="shared" si="1"/>
        <v>237.9</v>
      </c>
      <c r="M8" s="38">
        <f t="shared" si="2"/>
        <v>9.9999999999994316E-2</v>
      </c>
      <c r="N8" s="38"/>
    </row>
    <row r="9" spans="1:14" ht="42" customHeight="1">
      <c r="A9" s="165"/>
      <c r="B9" s="243" t="s">
        <v>363</v>
      </c>
      <c r="C9" s="38"/>
      <c r="D9" s="38"/>
      <c r="E9" s="38">
        <v>3000</v>
      </c>
      <c r="F9" s="38"/>
      <c r="G9" s="38"/>
      <c r="H9" s="38"/>
      <c r="I9" s="38"/>
      <c r="J9" s="18"/>
      <c r="K9" s="38"/>
      <c r="L9" s="38"/>
      <c r="M9" s="38"/>
      <c r="N9" s="38"/>
    </row>
    <row r="10" spans="1:14" ht="54.75" customHeight="1">
      <c r="A10" s="165"/>
      <c r="B10" s="15" t="s">
        <v>269</v>
      </c>
      <c r="C10" s="38"/>
      <c r="D10" s="38"/>
      <c r="E10" s="38"/>
      <c r="F10" s="38"/>
      <c r="G10" s="38"/>
      <c r="H10" s="38"/>
      <c r="I10" s="38"/>
      <c r="J10" s="18">
        <v>24.8</v>
      </c>
      <c r="K10" s="38">
        <f t="shared" si="0"/>
        <v>0</v>
      </c>
      <c r="L10" s="38">
        <f t="shared" si="1"/>
        <v>24.8</v>
      </c>
      <c r="M10" s="38">
        <f t="shared" si="2"/>
        <v>-24.8</v>
      </c>
      <c r="N10" s="98" t="e">
        <f t="shared" si="3"/>
        <v>#DIV/0!</v>
      </c>
    </row>
    <row r="11" spans="1:14" ht="36.75" customHeight="1">
      <c r="A11" s="165"/>
      <c r="B11" s="15" t="s">
        <v>270</v>
      </c>
      <c r="C11" s="38"/>
      <c r="D11" s="38"/>
      <c r="E11" s="38"/>
      <c r="F11" s="38"/>
      <c r="G11" s="38"/>
      <c r="H11" s="38"/>
      <c r="I11" s="38"/>
      <c r="J11" s="18">
        <v>26.9</v>
      </c>
      <c r="K11" s="38">
        <f t="shared" si="0"/>
        <v>0</v>
      </c>
      <c r="L11" s="38">
        <f t="shared" si="1"/>
        <v>26.9</v>
      </c>
      <c r="M11" s="38">
        <f t="shared" si="2"/>
        <v>-26.9</v>
      </c>
      <c r="N11" s="98" t="e">
        <f t="shared" si="3"/>
        <v>#DIV/0!</v>
      </c>
    </row>
    <row r="12" spans="1:14" ht="36.75" customHeight="1">
      <c r="A12" s="165"/>
      <c r="B12" s="243" t="s">
        <v>379</v>
      </c>
      <c r="C12" s="38"/>
      <c r="D12" s="38"/>
      <c r="E12" s="38"/>
      <c r="F12" s="38"/>
      <c r="G12" s="38"/>
      <c r="H12" s="38"/>
      <c r="I12" s="38"/>
      <c r="J12" s="18">
        <v>1648.2</v>
      </c>
      <c r="K12" s="38"/>
      <c r="L12" s="38"/>
      <c r="M12" s="38"/>
      <c r="N12" s="98"/>
    </row>
    <row r="13" spans="1:14" ht="66" customHeight="1">
      <c r="A13" s="165">
        <v>2</v>
      </c>
      <c r="B13" s="241" t="s">
        <v>57</v>
      </c>
      <c r="C13" s="38"/>
      <c r="D13" s="38"/>
      <c r="E13" s="38"/>
      <c r="F13" s="38"/>
      <c r="G13" s="38"/>
      <c r="H13" s="38"/>
      <c r="I13" s="38"/>
      <c r="J13" s="38">
        <f>J14</f>
        <v>65.099999999999994</v>
      </c>
      <c r="K13" s="38">
        <f t="shared" si="0"/>
        <v>0</v>
      </c>
      <c r="L13" s="38">
        <f t="shared" si="1"/>
        <v>65.099999999999994</v>
      </c>
      <c r="M13" s="38">
        <f t="shared" si="2"/>
        <v>-65.099999999999994</v>
      </c>
      <c r="N13" s="38"/>
    </row>
    <row r="14" spans="1:14" ht="72.75" customHeight="1">
      <c r="A14" s="59"/>
      <c r="B14" s="100" t="s">
        <v>381</v>
      </c>
      <c r="C14" s="38"/>
      <c r="D14" s="38"/>
      <c r="E14" s="38"/>
      <c r="F14" s="38"/>
      <c r="G14" s="38"/>
      <c r="H14" s="38"/>
      <c r="I14" s="38"/>
      <c r="J14" s="39">
        <v>65.099999999999994</v>
      </c>
      <c r="K14" s="38"/>
      <c r="L14" s="38"/>
      <c r="M14" s="38"/>
      <c r="N14" s="38"/>
    </row>
    <row r="15" spans="1:14" ht="51.75" customHeight="1">
      <c r="A15" s="59"/>
      <c r="B15" s="244" t="s">
        <v>364</v>
      </c>
      <c r="C15" s="38"/>
      <c r="D15" s="38"/>
      <c r="E15" s="38">
        <v>1345.8</v>
      </c>
      <c r="F15" s="38">
        <f>F17</f>
        <v>19.600000000000001</v>
      </c>
      <c r="G15" s="38"/>
      <c r="H15" s="38"/>
      <c r="I15" s="38">
        <v>2511.9</v>
      </c>
      <c r="J15" s="39">
        <f>K16</f>
        <v>2511.9</v>
      </c>
      <c r="K15" s="38">
        <f>K16</f>
        <v>2511.9</v>
      </c>
      <c r="L15" s="38">
        <f>L16+L17</f>
        <v>1323.6</v>
      </c>
      <c r="M15" s="38">
        <f t="shared" ref="M15:M17" si="4">K15-L15</f>
        <v>1188.3000000000002</v>
      </c>
      <c r="N15" s="38"/>
    </row>
    <row r="16" spans="1:14" ht="93" customHeight="1">
      <c r="A16" s="59"/>
      <c r="B16" s="145" t="s">
        <v>272</v>
      </c>
      <c r="C16" s="38"/>
      <c r="D16" s="38"/>
      <c r="E16" s="38"/>
      <c r="F16" s="38"/>
      <c r="G16" s="38"/>
      <c r="H16" s="38"/>
      <c r="I16" s="38">
        <v>2511.9</v>
      </c>
      <c r="J16" s="39">
        <v>1304</v>
      </c>
      <c r="K16" s="18">
        <f>I16</f>
        <v>2511.9</v>
      </c>
      <c r="L16" s="38">
        <v>1304</v>
      </c>
      <c r="M16" s="38">
        <f t="shared" si="4"/>
        <v>1207.9000000000001</v>
      </c>
      <c r="N16" s="38"/>
    </row>
    <row r="17" spans="1:14" ht="45" customHeight="1">
      <c r="A17" s="59"/>
      <c r="B17" s="100" t="s">
        <v>382</v>
      </c>
      <c r="C17" s="38"/>
      <c r="D17" s="38"/>
      <c r="E17" s="38">
        <v>1345.8</v>
      </c>
      <c r="F17" s="38">
        <v>19.600000000000001</v>
      </c>
      <c r="G17" s="38"/>
      <c r="H17" s="38"/>
      <c r="I17" s="38"/>
      <c r="J17" s="39"/>
      <c r="K17" s="38"/>
      <c r="L17" s="38">
        <f t="shared" ref="L17" si="5">D17+F17+H17+J17</f>
        <v>19.600000000000001</v>
      </c>
      <c r="M17" s="38">
        <f t="shared" si="4"/>
        <v>-19.600000000000001</v>
      </c>
      <c r="N17" s="38"/>
    </row>
    <row r="18" spans="1:14" ht="24.75" customHeight="1">
      <c r="A18" s="374" t="s">
        <v>7</v>
      </c>
      <c r="B18" s="374"/>
      <c r="C18" s="41"/>
      <c r="D18" s="41"/>
      <c r="E18" s="38">
        <f t="shared" ref="E18:L18" si="6">E6+E13+E15</f>
        <v>4345.8</v>
      </c>
      <c r="F18" s="38">
        <f t="shared" si="6"/>
        <v>19.600000000000001</v>
      </c>
      <c r="G18" s="38">
        <f t="shared" si="6"/>
        <v>0</v>
      </c>
      <c r="H18" s="38">
        <f t="shared" si="6"/>
        <v>0</v>
      </c>
      <c r="I18" s="38">
        <f t="shared" si="6"/>
        <v>2749.9</v>
      </c>
      <c r="J18" s="38">
        <f t="shared" si="6"/>
        <v>4610.8</v>
      </c>
      <c r="K18" s="38">
        <f t="shared" si="6"/>
        <v>5749.9</v>
      </c>
      <c r="L18" s="38">
        <f t="shared" si="6"/>
        <v>3422.5</v>
      </c>
      <c r="M18" s="38">
        <f t="shared" ref="M18" si="7">K18-L18</f>
        <v>2327.3999999999996</v>
      </c>
      <c r="N18" s="38"/>
    </row>
    <row r="19" spans="1:14" s="8" customFormat="1" ht="81.75" customHeight="1">
      <c r="A19" s="42"/>
      <c r="B19" s="378" t="s">
        <v>133</v>
      </c>
      <c r="C19" s="378"/>
      <c r="D19" s="51"/>
      <c r="E19" s="366"/>
      <c r="F19" s="366"/>
      <c r="G19" s="51"/>
      <c r="H19" s="379" t="s">
        <v>251</v>
      </c>
      <c r="I19" s="379"/>
      <c r="J19" s="99"/>
      <c r="K19" s="42"/>
      <c r="L19" s="42"/>
      <c r="M19" s="42"/>
      <c r="N19" s="42"/>
    </row>
    <row r="20" spans="1:14" s="2" customFormat="1" ht="19.5" customHeight="1">
      <c r="A20" s="24"/>
      <c r="B20" s="24" t="s">
        <v>8</v>
      </c>
      <c r="C20" s="60"/>
      <c r="D20" s="60"/>
      <c r="E20" s="377" t="s">
        <v>255</v>
      </c>
      <c r="F20" s="377"/>
      <c r="G20" s="252"/>
      <c r="H20" s="365" t="s">
        <v>14</v>
      </c>
      <c r="I20" s="365"/>
      <c r="J20" s="252"/>
      <c r="K20" s="252"/>
      <c r="L20" s="24"/>
      <c r="M20" s="24"/>
      <c r="N20" s="24"/>
    </row>
    <row r="21" spans="1:14" ht="20.100000000000001" customHeight="1">
      <c r="A21" s="36"/>
      <c r="B21" s="43"/>
      <c r="C21" s="44"/>
      <c r="D21" s="44"/>
      <c r="E21" s="44"/>
      <c r="F21" s="44"/>
    </row>
    <row r="22" spans="1:14" s="368" customFormat="1" ht="19.149999999999999" customHeight="1">
      <c r="A22" s="367" t="s">
        <v>46</v>
      </c>
    </row>
    <row r="25" spans="1:14">
      <c r="B25" s="45"/>
    </row>
  </sheetData>
  <mergeCells count="15">
    <mergeCell ref="H20:I20"/>
    <mergeCell ref="E19:F19"/>
    <mergeCell ref="A1:M1"/>
    <mergeCell ref="A22:XFD22"/>
    <mergeCell ref="A3:A4"/>
    <mergeCell ref="K3:N3"/>
    <mergeCell ref="A18:B18"/>
    <mergeCell ref="B3:B4"/>
    <mergeCell ref="I3:J3"/>
    <mergeCell ref="G3:H3"/>
    <mergeCell ref="E3:F3"/>
    <mergeCell ref="C3:D3"/>
    <mergeCell ref="E20:F20"/>
    <mergeCell ref="B19:C19"/>
    <mergeCell ref="H19:I19"/>
  </mergeCells>
  <phoneticPr fontId="3" type="noConversion"/>
  <printOptions horizontalCentered="1"/>
  <pageMargins left="0.39370078740157483" right="0.39370078740157483" top="0.78740157480314965" bottom="0.39370078740157483" header="0.19685039370078741" footer="0.31496062992125984"/>
  <pageSetup paperSize="9" scale="6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2023-08-04T09:22:47Z</cp:lastPrinted>
  <dcterms:created xsi:type="dcterms:W3CDTF">2003-03-13T16:00:22Z</dcterms:created>
  <dcterms:modified xsi:type="dcterms:W3CDTF">2023-08-22T12:30:19Z</dcterms:modified>
</cp:coreProperties>
</file>